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llažu būvdarbi_2\"/>
    </mc:Choice>
  </mc:AlternateContent>
  <bookViews>
    <workbookView xWindow="-120" yWindow="-120" windowWidth="20730" windowHeight="11160" tabRatio="908" activeTab="3"/>
  </bookViews>
  <sheets>
    <sheet name="Kopsavilkums" sheetId="48" r:id="rId1"/>
    <sheet name="Birzes iela" sheetId="43" r:id="rId2"/>
    <sheet name="Ošu iela " sheetId="46" r:id="rId3"/>
    <sheet name="Lakstīgalas iela" sheetId="49" r:id="rId4"/>
    <sheet name="LT-1;ŪdenstornisAR&lt;BK&lt;TN&lt;EL" sheetId="31" state="hidden" r:id="rId5"/>
  </sheets>
  <definedNames>
    <definedName name="_xlnm.Print_Area" localSheetId="4">'LT-1;ŪdenstornisAR&lt;BK&lt;TN&lt;EL'!$A$1:$O$285</definedName>
    <definedName name="_xlnm.Print_Titles" localSheetId="1">'Birzes iela'!$13:$14</definedName>
    <definedName name="_xlnm.Print_Titles" localSheetId="4">'LT-1;ŪdenstornisAR&lt;BK&lt;TN&lt;EL'!$14:$16</definedName>
    <definedName name="_xlnm.Print_Titles" localSheetId="2">'Ošu iela '!$13:$14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49" l="1"/>
  <c r="J10" i="46" l="1"/>
  <c r="F14" i="48" l="1"/>
  <c r="J10" i="43" l="1"/>
  <c r="B282" i="31" l="1"/>
  <c r="D255" i="31"/>
  <c r="M255" i="31" s="1"/>
  <c r="M273" i="31"/>
  <c r="L273" i="31"/>
  <c r="K273" i="31"/>
  <c r="I273" i="31"/>
  <c r="N273" i="31" s="1"/>
  <c r="M272" i="31"/>
  <c r="L272" i="31"/>
  <c r="K272" i="31"/>
  <c r="I272" i="31"/>
  <c r="N272" i="31" s="1"/>
  <c r="M271" i="31"/>
  <c r="L271" i="31"/>
  <c r="K271" i="31"/>
  <c r="I271" i="31"/>
  <c r="N271" i="31" s="1"/>
  <c r="M270" i="31"/>
  <c r="L270" i="31"/>
  <c r="K270" i="31"/>
  <c r="I270" i="31"/>
  <c r="N270" i="31" s="1"/>
  <c r="M268" i="31"/>
  <c r="L268" i="31"/>
  <c r="K268" i="31"/>
  <c r="I268" i="31"/>
  <c r="N268" i="31" s="1"/>
  <c r="M267" i="31"/>
  <c r="L267" i="31"/>
  <c r="K267" i="31"/>
  <c r="I267" i="31"/>
  <c r="N267" i="31" s="1"/>
  <c r="M266" i="31"/>
  <c r="L266" i="31"/>
  <c r="K266" i="31"/>
  <c r="I266" i="31"/>
  <c r="N266" i="31" s="1"/>
  <c r="M265" i="31"/>
  <c r="L265" i="31"/>
  <c r="K265" i="31"/>
  <c r="I265" i="31"/>
  <c r="N265" i="31" s="1"/>
  <c r="M264" i="31"/>
  <c r="L264" i="31"/>
  <c r="K264" i="31"/>
  <c r="I264" i="31"/>
  <c r="N264" i="31" s="1"/>
  <c r="M263" i="31"/>
  <c r="L263" i="31"/>
  <c r="K263" i="31"/>
  <c r="I263" i="31"/>
  <c r="N263" i="31" s="1"/>
  <c r="M262" i="31"/>
  <c r="L262" i="31"/>
  <c r="K262" i="31"/>
  <c r="I262" i="31"/>
  <c r="N262" i="31" s="1"/>
  <c r="M258" i="31"/>
  <c r="L258" i="31"/>
  <c r="K258" i="31"/>
  <c r="I258" i="31"/>
  <c r="N258" i="31" s="1"/>
  <c r="M257" i="31"/>
  <c r="L257" i="31"/>
  <c r="K257" i="31"/>
  <c r="I257" i="31"/>
  <c r="N257" i="31" s="1"/>
  <c r="M256" i="31"/>
  <c r="L256" i="31"/>
  <c r="K256" i="31"/>
  <c r="I256" i="31"/>
  <c r="N256" i="31" s="1"/>
  <c r="M254" i="31"/>
  <c r="L254" i="31"/>
  <c r="K254" i="31"/>
  <c r="I254" i="31"/>
  <c r="N254" i="31" s="1"/>
  <c r="M253" i="31"/>
  <c r="L253" i="31"/>
  <c r="K253" i="31"/>
  <c r="I253" i="31"/>
  <c r="N253" i="31" s="1"/>
  <c r="M251" i="31"/>
  <c r="L251" i="31"/>
  <c r="K251" i="31"/>
  <c r="I251" i="31"/>
  <c r="N251" i="31" s="1"/>
  <c r="M249" i="31"/>
  <c r="L249" i="31"/>
  <c r="K249" i="31"/>
  <c r="I249" i="31"/>
  <c r="N249" i="31" s="1"/>
  <c r="M248" i="31"/>
  <c r="L248" i="31"/>
  <c r="K248" i="31"/>
  <c r="I248" i="31"/>
  <c r="N248" i="31" s="1"/>
  <c r="M247" i="31"/>
  <c r="L247" i="31"/>
  <c r="K247" i="31"/>
  <c r="I247" i="31"/>
  <c r="N247" i="31" s="1"/>
  <c r="M246" i="31"/>
  <c r="L246" i="31"/>
  <c r="K246" i="31"/>
  <c r="I246" i="31"/>
  <c r="N246" i="31" s="1"/>
  <c r="M245" i="31"/>
  <c r="L245" i="31"/>
  <c r="K245" i="31"/>
  <c r="I245" i="31"/>
  <c r="N245" i="31" s="1"/>
  <c r="M243" i="31"/>
  <c r="L243" i="31"/>
  <c r="K243" i="31"/>
  <c r="I243" i="31"/>
  <c r="N243" i="31" s="1"/>
  <c r="M242" i="31"/>
  <c r="L242" i="31"/>
  <c r="K242" i="31"/>
  <c r="I242" i="31"/>
  <c r="N242" i="31" s="1"/>
  <c r="M241" i="31"/>
  <c r="L241" i="31"/>
  <c r="K241" i="31"/>
  <c r="I241" i="31"/>
  <c r="N241" i="31" s="1"/>
  <c r="M240" i="31"/>
  <c r="L240" i="31"/>
  <c r="K240" i="31"/>
  <c r="I240" i="31"/>
  <c r="N240" i="31" s="1"/>
  <c r="M239" i="31"/>
  <c r="L239" i="31"/>
  <c r="K239" i="31"/>
  <c r="I239" i="31"/>
  <c r="N239" i="31" s="1"/>
  <c r="M238" i="31"/>
  <c r="L238" i="31"/>
  <c r="K238" i="31"/>
  <c r="I238" i="31"/>
  <c r="N238" i="31" s="1"/>
  <c r="M236" i="31"/>
  <c r="L236" i="31"/>
  <c r="K236" i="31"/>
  <c r="I236" i="31"/>
  <c r="N236" i="31" s="1"/>
  <c r="M235" i="31"/>
  <c r="L235" i="31"/>
  <c r="K235" i="31"/>
  <c r="I235" i="31"/>
  <c r="N235" i="31" s="1"/>
  <c r="M234" i="31"/>
  <c r="L234" i="31"/>
  <c r="K234" i="31"/>
  <c r="I234" i="31"/>
  <c r="N234" i="31" s="1"/>
  <c r="M233" i="31"/>
  <c r="L233" i="31"/>
  <c r="K233" i="31"/>
  <c r="I233" i="31"/>
  <c r="N233" i="31" s="1"/>
  <c r="M232" i="31"/>
  <c r="L232" i="31"/>
  <c r="K232" i="31"/>
  <c r="I232" i="31"/>
  <c r="N232" i="31" s="1"/>
  <c r="M231" i="31"/>
  <c r="L231" i="31"/>
  <c r="K231" i="31"/>
  <c r="I231" i="31"/>
  <c r="N231" i="31" s="1"/>
  <c r="M230" i="31"/>
  <c r="L230" i="31"/>
  <c r="K230" i="31"/>
  <c r="I230" i="31"/>
  <c r="N230" i="31" s="1"/>
  <c r="M229" i="31"/>
  <c r="L229" i="31"/>
  <c r="K229" i="31"/>
  <c r="I229" i="31"/>
  <c r="N229" i="31" s="1"/>
  <c r="M227" i="31"/>
  <c r="L227" i="31"/>
  <c r="K227" i="31"/>
  <c r="I227" i="31"/>
  <c r="N227" i="31" s="1"/>
  <c r="M269" i="31"/>
  <c r="K269" i="31"/>
  <c r="F269" i="31"/>
  <c r="G269" i="31" s="1"/>
  <c r="L269" i="31" s="1"/>
  <c r="M261" i="31"/>
  <c r="K261" i="31"/>
  <c r="F261" i="31"/>
  <c r="G261" i="31" s="1"/>
  <c r="L261" i="31" s="1"/>
  <c r="M260" i="31"/>
  <c r="K260" i="31"/>
  <c r="F260" i="31"/>
  <c r="G260" i="31" s="1"/>
  <c r="I260" i="31" s="1"/>
  <c r="M259" i="31"/>
  <c r="K259" i="31"/>
  <c r="F259" i="31"/>
  <c r="G259" i="31" s="1"/>
  <c r="I259" i="31" s="1"/>
  <c r="F255" i="31"/>
  <c r="G255" i="31" s="1"/>
  <c r="F252" i="31"/>
  <c r="G252" i="31" s="1"/>
  <c r="M250" i="31"/>
  <c r="K250" i="31"/>
  <c r="F250" i="31"/>
  <c r="G250" i="31" s="1"/>
  <c r="F244" i="31"/>
  <c r="G244" i="31" s="1"/>
  <c r="F237" i="31"/>
  <c r="G237" i="31" s="1"/>
  <c r="F228" i="31"/>
  <c r="G228" i="31" s="1"/>
  <c r="M226" i="31"/>
  <c r="K226" i="31"/>
  <c r="F226" i="31"/>
  <c r="G226" i="31" s="1"/>
  <c r="I226" i="31" s="1"/>
  <c r="L255" i="31" l="1"/>
  <c r="K255" i="31"/>
  <c r="J253" i="31"/>
  <c r="J262" i="31"/>
  <c r="J264" i="31"/>
  <c r="J266" i="31"/>
  <c r="O266" i="31"/>
  <c r="J268" i="31"/>
  <c r="O268" i="31"/>
  <c r="I244" i="31"/>
  <c r="L250" i="31"/>
  <c r="I250" i="31"/>
  <c r="N250" i="31" s="1"/>
  <c r="J227" i="31"/>
  <c r="J230" i="31"/>
  <c r="O230" i="31"/>
  <c r="J232" i="31"/>
  <c r="O232" i="31"/>
  <c r="J234" i="31"/>
  <c r="O234" i="31"/>
  <c r="J236" i="31"/>
  <c r="O236" i="31"/>
  <c r="J238" i="31"/>
  <c r="O238" i="31"/>
  <c r="O239" i="31"/>
  <c r="J240" i="31"/>
  <c r="O240" i="31"/>
  <c r="O241" i="31"/>
  <c r="J242" i="31"/>
  <c r="O264" i="31"/>
  <c r="O262" i="31"/>
  <c r="O253" i="31"/>
  <c r="O242" i="31"/>
  <c r="N226" i="31"/>
  <c r="O270" i="31"/>
  <c r="O271" i="31"/>
  <c r="O272" i="31"/>
  <c r="O273" i="31"/>
  <c r="J270" i="31"/>
  <c r="J272" i="31"/>
  <c r="J271" i="31"/>
  <c r="J273" i="31"/>
  <c r="O263" i="31"/>
  <c r="O265" i="31"/>
  <c r="O267" i="31"/>
  <c r="J263" i="31"/>
  <c r="J265" i="31"/>
  <c r="J267" i="31"/>
  <c r="O256" i="31"/>
  <c r="O257" i="31"/>
  <c r="O258" i="31"/>
  <c r="J257" i="31"/>
  <c r="J256" i="31"/>
  <c r="J258" i="31"/>
  <c r="O254" i="31"/>
  <c r="J254" i="31"/>
  <c r="O251" i="31"/>
  <c r="J251" i="31"/>
  <c r="O245" i="31"/>
  <c r="O246" i="31"/>
  <c r="O247" i="31"/>
  <c r="O248" i="31"/>
  <c r="O249" i="31"/>
  <c r="J246" i="31"/>
  <c r="J248" i="31"/>
  <c r="J245" i="31"/>
  <c r="J247" i="31"/>
  <c r="J249" i="31"/>
  <c r="O243" i="31"/>
  <c r="J239" i="31"/>
  <c r="J241" i="31"/>
  <c r="J243" i="31"/>
  <c r="O229" i="31"/>
  <c r="O231" i="31"/>
  <c r="O233" i="31"/>
  <c r="O235" i="31"/>
  <c r="J229" i="31"/>
  <c r="J231" i="31"/>
  <c r="J233" i="31"/>
  <c r="J235" i="31"/>
  <c r="O227" i="31"/>
  <c r="I269" i="31"/>
  <c r="N269" i="31" s="1"/>
  <c r="O269" i="31" s="1"/>
  <c r="I261" i="31"/>
  <c r="N261" i="31" s="1"/>
  <c r="O261" i="31" s="1"/>
  <c r="L260" i="31"/>
  <c r="J260" i="31"/>
  <c r="N260" i="31"/>
  <c r="L259" i="31"/>
  <c r="N259" i="31"/>
  <c r="I255" i="31"/>
  <c r="N255" i="31" s="1"/>
  <c r="I252" i="31"/>
  <c r="I237" i="31"/>
  <c r="I228" i="31"/>
  <c r="J226" i="31"/>
  <c r="L226" i="31"/>
  <c r="O250" i="31" l="1"/>
  <c r="O255" i="31"/>
  <c r="O226" i="31"/>
  <c r="J252" i="31"/>
  <c r="J237" i="31"/>
  <c r="J269" i="31"/>
  <c r="J261" i="31"/>
  <c r="O260" i="31"/>
  <c r="O259" i="31"/>
  <c r="J259" i="31"/>
  <c r="J255" i="31"/>
  <c r="J250" i="31"/>
  <c r="J244" i="31"/>
  <c r="J228" i="31"/>
  <c r="D252" i="31" l="1"/>
  <c r="D244" i="31"/>
  <c r="D237" i="31"/>
  <c r="D228" i="31"/>
  <c r="I224" i="31"/>
  <c r="J224" i="31" s="1"/>
  <c r="I223" i="31"/>
  <c r="J223" i="31" s="1"/>
  <c r="D224" i="31"/>
  <c r="L224" i="31" s="1"/>
  <c r="M221" i="31"/>
  <c r="K221" i="31"/>
  <c r="F221" i="31"/>
  <c r="G221" i="31" s="1"/>
  <c r="I221" i="31" s="1"/>
  <c r="M222" i="31"/>
  <c r="K222" i="31"/>
  <c r="F222" i="31"/>
  <c r="G222" i="31" s="1"/>
  <c r="L222" i="31" s="1"/>
  <c r="D223" i="31"/>
  <c r="M223" i="31" s="1"/>
  <c r="M220" i="31"/>
  <c r="K220" i="31"/>
  <c r="F220" i="31"/>
  <c r="G220" i="31" s="1"/>
  <c r="L220" i="31" s="1"/>
  <c r="D217" i="31"/>
  <c r="L217" i="31" s="1"/>
  <c r="D216" i="31"/>
  <c r="M216" i="31" s="1"/>
  <c r="I217" i="31"/>
  <c r="J217" i="31" s="1"/>
  <c r="I218" i="31"/>
  <c r="J218" i="31" s="1"/>
  <c r="K218" i="31"/>
  <c r="L218" i="31"/>
  <c r="M218" i="31"/>
  <c r="I219" i="31"/>
  <c r="J219" i="31" s="1"/>
  <c r="K219" i="31"/>
  <c r="L219" i="31"/>
  <c r="M219" i="31"/>
  <c r="I216" i="31"/>
  <c r="M215" i="31"/>
  <c r="K215" i="31"/>
  <c r="F215" i="31"/>
  <c r="G215" i="31" s="1"/>
  <c r="I213" i="31"/>
  <c r="J213" i="31" s="1"/>
  <c r="K213" i="31"/>
  <c r="L213" i="31"/>
  <c r="M213" i="31"/>
  <c r="M212" i="31"/>
  <c r="L212" i="31"/>
  <c r="K212" i="31"/>
  <c r="I212" i="31"/>
  <c r="N212" i="31" s="1"/>
  <c r="M211" i="31"/>
  <c r="K211" i="31"/>
  <c r="F211" i="31"/>
  <c r="G211" i="31" s="1"/>
  <c r="I208" i="31"/>
  <c r="J208" i="31" s="1"/>
  <c r="K208" i="31"/>
  <c r="L208" i="31"/>
  <c r="M208" i="31"/>
  <c r="I209" i="31"/>
  <c r="J209" i="31" s="1"/>
  <c r="K209" i="31"/>
  <c r="L209" i="31"/>
  <c r="M209" i="31"/>
  <c r="I210" i="31"/>
  <c r="J210" i="31" s="1"/>
  <c r="K210" i="31"/>
  <c r="L210" i="31"/>
  <c r="M210" i="31"/>
  <c r="M207" i="31"/>
  <c r="L207" i="31"/>
  <c r="K207" i="31"/>
  <c r="I207" i="31"/>
  <c r="N207" i="31" s="1"/>
  <c r="F206" i="31"/>
  <c r="G206" i="31" s="1"/>
  <c r="M190" i="31"/>
  <c r="O190" i="31" s="1"/>
  <c r="D186" i="31"/>
  <c r="I194" i="31"/>
  <c r="J194" i="31" s="1"/>
  <c r="K194" i="31"/>
  <c r="L194" i="31"/>
  <c r="M194" i="31"/>
  <c r="I193" i="31"/>
  <c r="J193" i="31" s="1"/>
  <c r="K193" i="31"/>
  <c r="L193" i="31"/>
  <c r="M193" i="31"/>
  <c r="D196" i="31"/>
  <c r="N216" i="31" l="1"/>
  <c r="K217" i="31"/>
  <c r="M228" i="31"/>
  <c r="K228" i="31"/>
  <c r="L228" i="31"/>
  <c r="N228" i="31"/>
  <c r="M237" i="31"/>
  <c r="K237" i="31"/>
  <c r="L237" i="31"/>
  <c r="N237" i="31"/>
  <c r="M244" i="31"/>
  <c r="K244" i="31"/>
  <c r="L244" i="31"/>
  <c r="N244" i="31"/>
  <c r="M252" i="31"/>
  <c r="K252" i="31"/>
  <c r="L252" i="31"/>
  <c r="N252" i="31"/>
  <c r="N194" i="31"/>
  <c r="O194" i="31" s="1"/>
  <c r="N219" i="31"/>
  <c r="O219" i="31" s="1"/>
  <c r="N217" i="31"/>
  <c r="N213" i="31"/>
  <c r="O213" i="31" s="1"/>
  <c r="J216" i="31"/>
  <c r="L223" i="31"/>
  <c r="N223" i="31"/>
  <c r="M224" i="31"/>
  <c r="K224" i="31"/>
  <c r="N210" i="31"/>
  <c r="O210" i="31" s="1"/>
  <c r="N208" i="31"/>
  <c r="O208" i="31" s="1"/>
  <c r="J212" i="31"/>
  <c r="I220" i="31"/>
  <c r="N220" i="31" s="1"/>
  <c r="O220" i="31" s="1"/>
  <c r="I222" i="31"/>
  <c r="N222" i="31" s="1"/>
  <c r="O222" i="31" s="1"/>
  <c r="K223" i="31"/>
  <c r="N224" i="31"/>
  <c r="L221" i="31"/>
  <c r="N221" i="31"/>
  <c r="L216" i="31"/>
  <c r="O216" i="31" s="1"/>
  <c r="K216" i="31"/>
  <c r="M217" i="31"/>
  <c r="N218" i="31"/>
  <c r="O218" i="31" s="1"/>
  <c r="L215" i="31"/>
  <c r="I215" i="31"/>
  <c r="N215" i="31" s="1"/>
  <c r="O212" i="31"/>
  <c r="L211" i="31"/>
  <c r="I211" i="31"/>
  <c r="N211" i="31" s="1"/>
  <c r="J207" i="31"/>
  <c r="O207" i="31"/>
  <c r="N209" i="31"/>
  <c r="O209" i="31" s="1"/>
  <c r="I206" i="31"/>
  <c r="J206" i="31" s="1"/>
  <c r="N193" i="31"/>
  <c r="O193" i="31" s="1"/>
  <c r="O244" i="31" l="1"/>
  <c r="O228" i="31"/>
  <c r="O252" i="31"/>
  <c r="O237" i="31"/>
  <c r="O217" i="31"/>
  <c r="O223" i="31"/>
  <c r="O224" i="31"/>
  <c r="J221" i="31"/>
  <c r="O221" i="31"/>
  <c r="J222" i="31"/>
  <c r="J220" i="31"/>
  <c r="O215" i="31"/>
  <c r="J215" i="31"/>
  <c r="O211" i="31"/>
  <c r="J211" i="31"/>
  <c r="D165" i="31" l="1"/>
  <c r="I163" i="31"/>
  <c r="J163" i="31" s="1"/>
  <c r="K163" i="31"/>
  <c r="L163" i="31"/>
  <c r="M163" i="31"/>
  <c r="I204" i="31"/>
  <c r="I203" i="31"/>
  <c r="I201" i="31"/>
  <c r="J201" i="31" s="1"/>
  <c r="I199" i="31"/>
  <c r="J199" i="31" s="1"/>
  <c r="I198" i="31"/>
  <c r="I196" i="31"/>
  <c r="J196" i="31" s="1"/>
  <c r="M192" i="31"/>
  <c r="L192" i="31"/>
  <c r="K192" i="31"/>
  <c r="I192" i="31"/>
  <c r="N192" i="31" s="1"/>
  <c r="M189" i="31"/>
  <c r="L189" i="31"/>
  <c r="K189" i="31"/>
  <c r="I189" i="31"/>
  <c r="N189" i="31" s="1"/>
  <c r="I187" i="31"/>
  <c r="J187" i="31" s="1"/>
  <c r="I186" i="31"/>
  <c r="I184" i="31"/>
  <c r="J184" i="31" s="1"/>
  <c r="M182" i="31"/>
  <c r="L182" i="31"/>
  <c r="K182" i="31"/>
  <c r="I182" i="31"/>
  <c r="N182" i="31" s="1"/>
  <c r="M181" i="31"/>
  <c r="L181" i="31"/>
  <c r="K181" i="31"/>
  <c r="I181" i="31"/>
  <c r="N181" i="31" s="1"/>
  <c r="M179" i="31"/>
  <c r="L179" i="31"/>
  <c r="K179" i="31"/>
  <c r="I179" i="31"/>
  <c r="N179" i="31" s="1"/>
  <c r="M178" i="31"/>
  <c r="L178" i="31"/>
  <c r="K178" i="31"/>
  <c r="I178" i="31"/>
  <c r="N178" i="31" s="1"/>
  <c r="M177" i="31"/>
  <c r="L177" i="31"/>
  <c r="K177" i="31"/>
  <c r="I177" i="31"/>
  <c r="N177" i="31" s="1"/>
  <c r="I176" i="31"/>
  <c r="I173" i="31"/>
  <c r="M171" i="31"/>
  <c r="L171" i="31"/>
  <c r="K171" i="31"/>
  <c r="I171" i="31"/>
  <c r="N171" i="31" s="1"/>
  <c r="I170" i="31"/>
  <c r="M164" i="31"/>
  <c r="K164" i="31"/>
  <c r="F164" i="31"/>
  <c r="G164" i="31" s="1"/>
  <c r="L164" i="31" s="1"/>
  <c r="M168" i="31"/>
  <c r="L168" i="31"/>
  <c r="K168" i="31"/>
  <c r="I168" i="31"/>
  <c r="N168" i="31" s="1"/>
  <c r="M167" i="31"/>
  <c r="L167" i="31"/>
  <c r="K167" i="31"/>
  <c r="I167" i="31"/>
  <c r="N167" i="31" s="1"/>
  <c r="I166" i="31"/>
  <c r="M165" i="31"/>
  <c r="L165" i="31"/>
  <c r="K165" i="31"/>
  <c r="I165" i="31"/>
  <c r="N165" i="31" s="1"/>
  <c r="I162" i="31"/>
  <c r="M159" i="31"/>
  <c r="L159" i="31"/>
  <c r="K159" i="31"/>
  <c r="I159" i="31"/>
  <c r="N159" i="31" s="1"/>
  <c r="M158" i="31"/>
  <c r="L158" i="31"/>
  <c r="K158" i="31"/>
  <c r="I158" i="31"/>
  <c r="N158" i="31" s="1"/>
  <c r="M157" i="31"/>
  <c r="L157" i="31"/>
  <c r="K157" i="31"/>
  <c r="I157" i="31"/>
  <c r="N157" i="31" s="1"/>
  <c r="M156" i="31"/>
  <c r="L156" i="31"/>
  <c r="K156" i="31"/>
  <c r="I156" i="31"/>
  <c r="N156" i="31" s="1"/>
  <c r="M154" i="31"/>
  <c r="L154" i="31"/>
  <c r="K154" i="31"/>
  <c r="I154" i="31"/>
  <c r="N154" i="31" s="1"/>
  <c r="M153" i="31"/>
  <c r="L153" i="31"/>
  <c r="K153" i="31"/>
  <c r="I153" i="31"/>
  <c r="N153" i="31" s="1"/>
  <c r="M152" i="31"/>
  <c r="L152" i="31"/>
  <c r="K152" i="31"/>
  <c r="I152" i="31"/>
  <c r="N152" i="31" s="1"/>
  <c r="M151" i="31"/>
  <c r="L151" i="31"/>
  <c r="K151" i="31"/>
  <c r="I151" i="31"/>
  <c r="N151" i="31" s="1"/>
  <c r="M149" i="31"/>
  <c r="L149" i="31"/>
  <c r="K149" i="31"/>
  <c r="I149" i="31"/>
  <c r="N149" i="31" s="1"/>
  <c r="M148" i="31"/>
  <c r="L148" i="31"/>
  <c r="K148" i="31"/>
  <c r="I148" i="31"/>
  <c r="N148" i="31" s="1"/>
  <c r="M202" i="31"/>
  <c r="K202" i="31"/>
  <c r="F202" i="31"/>
  <c r="G202" i="31" s="1"/>
  <c r="L202" i="31" s="1"/>
  <c r="M200" i="31"/>
  <c r="K200" i="31"/>
  <c r="F200" i="31"/>
  <c r="G200" i="31" s="1"/>
  <c r="F197" i="31"/>
  <c r="G197" i="31" s="1"/>
  <c r="M195" i="31"/>
  <c r="K195" i="31"/>
  <c r="F195" i="31"/>
  <c r="G195" i="31" s="1"/>
  <c r="M191" i="31"/>
  <c r="K191" i="31"/>
  <c r="F191" i="31"/>
  <c r="G191" i="31" s="1"/>
  <c r="L191" i="31" s="1"/>
  <c r="M188" i="31"/>
  <c r="K188" i="31"/>
  <c r="F188" i="31"/>
  <c r="G188" i="31" s="1"/>
  <c r="L188" i="31" s="1"/>
  <c r="M185" i="31"/>
  <c r="K185" i="31"/>
  <c r="F185" i="31"/>
  <c r="G185" i="31" s="1"/>
  <c r="M183" i="31"/>
  <c r="K183" i="31"/>
  <c r="F183" i="31"/>
  <c r="G183" i="31" s="1"/>
  <c r="L183" i="31" s="1"/>
  <c r="M180" i="31"/>
  <c r="K180" i="31"/>
  <c r="F180" i="31"/>
  <c r="G180" i="31" s="1"/>
  <c r="M175" i="31"/>
  <c r="K175" i="31"/>
  <c r="F175" i="31"/>
  <c r="G175" i="31" s="1"/>
  <c r="F172" i="31"/>
  <c r="G172" i="31" s="1"/>
  <c r="M169" i="31"/>
  <c r="K169" i="31"/>
  <c r="F169" i="31"/>
  <c r="G169" i="31" s="1"/>
  <c r="M161" i="31"/>
  <c r="K161" i="31"/>
  <c r="F161" i="31"/>
  <c r="G161" i="31" s="1"/>
  <c r="L161" i="31" s="1"/>
  <c r="M155" i="31"/>
  <c r="K155" i="31"/>
  <c r="F155" i="31"/>
  <c r="G155" i="31" s="1"/>
  <c r="L155" i="31" s="1"/>
  <c r="M150" i="31"/>
  <c r="K150" i="31"/>
  <c r="F150" i="31"/>
  <c r="G150" i="31" s="1"/>
  <c r="L150" i="31" s="1"/>
  <c r="F147" i="31"/>
  <c r="G147" i="31" s="1"/>
  <c r="I145" i="31"/>
  <c r="J145" i="31" s="1"/>
  <c r="I146" i="31"/>
  <c r="J146" i="31" s="1"/>
  <c r="K146" i="31"/>
  <c r="L146" i="31"/>
  <c r="M146" i="31"/>
  <c r="M144" i="31"/>
  <c r="L144" i="31"/>
  <c r="K144" i="31"/>
  <c r="I144" i="31"/>
  <c r="N144" i="31" s="1"/>
  <c r="M143" i="31"/>
  <c r="K143" i="31"/>
  <c r="F143" i="31"/>
  <c r="G143" i="31" s="1"/>
  <c r="L143" i="31" s="1"/>
  <c r="I141" i="31"/>
  <c r="J141" i="31" s="1"/>
  <c r="D141" i="31"/>
  <c r="M141" i="31" s="1"/>
  <c r="I139" i="31"/>
  <c r="J139" i="31" s="1"/>
  <c r="K139" i="31"/>
  <c r="L139" i="31"/>
  <c r="M139" i="31"/>
  <c r="M138" i="31"/>
  <c r="L138" i="31"/>
  <c r="K138" i="31"/>
  <c r="I138" i="31"/>
  <c r="N138" i="31" s="1"/>
  <c r="I136" i="31"/>
  <c r="J136" i="31" s="1"/>
  <c r="K136" i="31"/>
  <c r="L136" i="31"/>
  <c r="M136" i="31"/>
  <c r="I135" i="31"/>
  <c r="D172" i="31"/>
  <c r="K172" i="31" s="1"/>
  <c r="I132" i="31"/>
  <c r="J132" i="31" s="1"/>
  <c r="K132" i="31"/>
  <c r="L132" i="31"/>
  <c r="M132" i="31"/>
  <c r="I133" i="31"/>
  <c r="J133" i="31" s="1"/>
  <c r="K133" i="31"/>
  <c r="L133" i="31"/>
  <c r="M133" i="31"/>
  <c r="M131" i="31"/>
  <c r="L131" i="31"/>
  <c r="K131" i="31"/>
  <c r="I131" i="31"/>
  <c r="N131" i="31" s="1"/>
  <c r="D129" i="31"/>
  <c r="M129" i="31" s="1"/>
  <c r="I129" i="31"/>
  <c r="M140" i="31"/>
  <c r="K140" i="31"/>
  <c r="F140" i="31"/>
  <c r="G140" i="31" s="1"/>
  <c r="L140" i="31" s="1"/>
  <c r="M137" i="31"/>
  <c r="K137" i="31"/>
  <c r="F137" i="31"/>
  <c r="G137" i="31" s="1"/>
  <c r="L137" i="31" s="1"/>
  <c r="M134" i="31"/>
  <c r="K134" i="31"/>
  <c r="F134" i="31"/>
  <c r="G134" i="31" s="1"/>
  <c r="M130" i="31"/>
  <c r="K130" i="31"/>
  <c r="F130" i="31"/>
  <c r="G130" i="31" s="1"/>
  <c r="M128" i="31"/>
  <c r="K128" i="31"/>
  <c r="F128" i="31"/>
  <c r="G128" i="31" s="1"/>
  <c r="J88" i="31"/>
  <c r="M126" i="31"/>
  <c r="L126" i="31"/>
  <c r="K126" i="31"/>
  <c r="I126" i="31"/>
  <c r="N126" i="31" s="1"/>
  <c r="M125" i="31"/>
  <c r="K125" i="31"/>
  <c r="F125" i="31"/>
  <c r="G125" i="31" s="1"/>
  <c r="I124" i="31"/>
  <c r="J124" i="31" s="1"/>
  <c r="M123" i="31"/>
  <c r="K123" i="31"/>
  <c r="F123" i="31"/>
  <c r="G123" i="31" s="1"/>
  <c r="M122" i="31"/>
  <c r="L122" i="31"/>
  <c r="K122" i="31"/>
  <c r="I122" i="31"/>
  <c r="N122" i="31" s="1"/>
  <c r="M121" i="31"/>
  <c r="K121" i="31"/>
  <c r="F121" i="31"/>
  <c r="G121" i="31" s="1"/>
  <c r="I120" i="31"/>
  <c r="M119" i="31"/>
  <c r="K119" i="31"/>
  <c r="F119" i="31"/>
  <c r="G119" i="31" s="1"/>
  <c r="I119" i="31" s="1"/>
  <c r="I118" i="31"/>
  <c r="M117" i="31"/>
  <c r="K117" i="31"/>
  <c r="F117" i="31"/>
  <c r="G117" i="31" s="1"/>
  <c r="I116" i="31"/>
  <c r="J116" i="31" s="1"/>
  <c r="K116" i="31"/>
  <c r="L116" i="31"/>
  <c r="M116" i="31"/>
  <c r="I115" i="31"/>
  <c r="J115" i="31" s="1"/>
  <c r="I113" i="31"/>
  <c r="J113" i="31" s="1"/>
  <c r="I112" i="31"/>
  <c r="J112" i="31" s="1"/>
  <c r="M114" i="31"/>
  <c r="K114" i="31"/>
  <c r="F114" i="31"/>
  <c r="G114" i="31" s="1"/>
  <c r="L114" i="31" s="1"/>
  <c r="M111" i="31"/>
  <c r="K111" i="31"/>
  <c r="F111" i="31"/>
  <c r="G111" i="31" s="1"/>
  <c r="I111" i="31" s="1"/>
  <c r="I110" i="31"/>
  <c r="M109" i="31"/>
  <c r="K109" i="31"/>
  <c r="F109" i="31"/>
  <c r="G109" i="31" s="1"/>
  <c r="L109" i="31" s="1"/>
  <c r="I108" i="31"/>
  <c r="J108" i="31" s="1"/>
  <c r="M107" i="31"/>
  <c r="K107" i="31"/>
  <c r="F107" i="31"/>
  <c r="G107" i="31" s="1"/>
  <c r="I106" i="31"/>
  <c r="M105" i="31"/>
  <c r="K105" i="31"/>
  <c r="F105" i="31"/>
  <c r="G105" i="31" s="1"/>
  <c r="L105" i="31" s="1"/>
  <c r="I103" i="31"/>
  <c r="J103" i="31" s="1"/>
  <c r="K103" i="31"/>
  <c r="L103" i="31"/>
  <c r="M103" i="31"/>
  <c r="I102" i="31"/>
  <c r="J102" i="31" s="1"/>
  <c r="K102" i="31"/>
  <c r="L102" i="31"/>
  <c r="M102" i="31"/>
  <c r="M101" i="31"/>
  <c r="L101" i="31"/>
  <c r="K101" i="31"/>
  <c r="I101" i="31"/>
  <c r="N101" i="31" s="1"/>
  <c r="M100" i="31"/>
  <c r="K100" i="31"/>
  <c r="F100" i="31"/>
  <c r="G100" i="31" s="1"/>
  <c r="L100" i="31" s="1"/>
  <c r="I98" i="31"/>
  <c r="J98" i="31" s="1"/>
  <c r="K98" i="31"/>
  <c r="L98" i="31"/>
  <c r="M98" i="31"/>
  <c r="M97" i="31"/>
  <c r="L97" i="31"/>
  <c r="K97" i="31"/>
  <c r="I97" i="31"/>
  <c r="N97" i="31" s="1"/>
  <c r="F96" i="31"/>
  <c r="G96" i="31" s="1"/>
  <c r="I94" i="31"/>
  <c r="J94" i="31" s="1"/>
  <c r="K94" i="31"/>
  <c r="L94" i="31"/>
  <c r="M94" i="31"/>
  <c r="I95" i="31"/>
  <c r="J95" i="31" s="1"/>
  <c r="K95" i="31"/>
  <c r="L95" i="31"/>
  <c r="M95" i="31"/>
  <c r="M93" i="31"/>
  <c r="L93" i="31"/>
  <c r="K93" i="31"/>
  <c r="I93" i="31"/>
  <c r="N93" i="31" s="1"/>
  <c r="F92" i="31"/>
  <c r="G92" i="31" s="1"/>
  <c r="F69" i="31"/>
  <c r="G69" i="31" s="1"/>
  <c r="I71" i="31"/>
  <c r="N71" i="31" s="1"/>
  <c r="K71" i="31"/>
  <c r="L71" i="31"/>
  <c r="H71" i="31"/>
  <c r="H70" i="31"/>
  <c r="D69" i="31"/>
  <c r="K69" i="31" s="1"/>
  <c r="M91" i="31"/>
  <c r="L91" i="31"/>
  <c r="K91" i="31"/>
  <c r="I91" i="31"/>
  <c r="N91" i="31" s="1"/>
  <c r="M90" i="31"/>
  <c r="K90" i="31"/>
  <c r="F90" i="31"/>
  <c r="G90" i="31" s="1"/>
  <c r="L90" i="31" s="1"/>
  <c r="K88" i="31"/>
  <c r="L88" i="31"/>
  <c r="M88" i="31"/>
  <c r="N88" i="31"/>
  <c r="I87" i="31"/>
  <c r="J87" i="31" s="1"/>
  <c r="K87" i="31"/>
  <c r="L87" i="31"/>
  <c r="M87" i="31"/>
  <c r="M86" i="31"/>
  <c r="L86" i="31"/>
  <c r="K86" i="31"/>
  <c r="I86" i="31"/>
  <c r="N86" i="31" s="1"/>
  <c r="M84" i="31"/>
  <c r="K84" i="31"/>
  <c r="F84" i="31"/>
  <c r="G84" i="31" s="1"/>
  <c r="L84" i="31" s="1"/>
  <c r="M85" i="31"/>
  <c r="K85" i="31"/>
  <c r="F85" i="31"/>
  <c r="G85" i="31" s="1"/>
  <c r="I81" i="31"/>
  <c r="J81" i="31" s="1"/>
  <c r="K81" i="31"/>
  <c r="L81" i="31"/>
  <c r="M81" i="31"/>
  <c r="I82" i="31"/>
  <c r="J82" i="31" s="1"/>
  <c r="K82" i="31"/>
  <c r="L82" i="31"/>
  <c r="M82" i="31"/>
  <c r="I83" i="31"/>
  <c r="J83" i="31" s="1"/>
  <c r="K83" i="31"/>
  <c r="L83" i="31"/>
  <c r="M83" i="31"/>
  <c r="I80" i="31"/>
  <c r="I74" i="31"/>
  <c r="J74" i="31" s="1"/>
  <c r="K74" i="31"/>
  <c r="L74" i="31"/>
  <c r="M74" i="31"/>
  <c r="F79" i="31"/>
  <c r="G79" i="31" s="1"/>
  <c r="D75" i="31"/>
  <c r="M75" i="31" s="1"/>
  <c r="F75" i="31"/>
  <c r="G75" i="31" s="1"/>
  <c r="I75" i="31" s="1"/>
  <c r="N74" i="31" l="1"/>
  <c r="O74" i="31" s="1"/>
  <c r="N98" i="31"/>
  <c r="O98" i="31" s="1"/>
  <c r="N94" i="31"/>
  <c r="O94" i="31" s="1"/>
  <c r="O181" i="31"/>
  <c r="J182" i="31"/>
  <c r="L185" i="31"/>
  <c r="I185" i="31"/>
  <c r="N185" i="31" s="1"/>
  <c r="N102" i="31"/>
  <c r="O102" i="31" s="1"/>
  <c r="N129" i="31"/>
  <c r="N139" i="31"/>
  <c r="O139" i="31" s="1"/>
  <c r="J171" i="31"/>
  <c r="L141" i="31"/>
  <c r="N141" i="31"/>
  <c r="L172" i="31"/>
  <c r="M172" i="31"/>
  <c r="N163" i="31"/>
  <c r="O163" i="31" s="1"/>
  <c r="N83" i="31"/>
  <c r="O83" i="31" s="1"/>
  <c r="N81" i="31"/>
  <c r="J71" i="31"/>
  <c r="J101" i="31"/>
  <c r="J106" i="31"/>
  <c r="N116" i="31"/>
  <c r="O116" i="31" s="1"/>
  <c r="J118" i="31"/>
  <c r="J122" i="31"/>
  <c r="O122" i="31"/>
  <c r="J126" i="31"/>
  <c r="L129" i="31"/>
  <c r="N132" i="31"/>
  <c r="O132" i="31" s="1"/>
  <c r="J135" i="31"/>
  <c r="K141" i="31"/>
  <c r="N146" i="31"/>
  <c r="O146" i="31" s="1"/>
  <c r="J151" i="31"/>
  <c r="J153" i="31"/>
  <c r="O153" i="31"/>
  <c r="O156" i="31"/>
  <c r="J157" i="31"/>
  <c r="O157" i="31"/>
  <c r="O158" i="31"/>
  <c r="J159" i="31"/>
  <c r="O159" i="31"/>
  <c r="J162" i="31"/>
  <c r="O182" i="31"/>
  <c r="O178" i="31"/>
  <c r="O171" i="31"/>
  <c r="O151" i="31"/>
  <c r="J203" i="31"/>
  <c r="J204" i="31"/>
  <c r="J198" i="31"/>
  <c r="O192" i="31"/>
  <c r="J192" i="31"/>
  <c r="O189" i="31"/>
  <c r="J189" i="31"/>
  <c r="J186" i="31"/>
  <c r="J181" i="31"/>
  <c r="O177" i="31"/>
  <c r="O179" i="31"/>
  <c r="J176" i="31"/>
  <c r="J178" i="31"/>
  <c r="J177" i="31"/>
  <c r="J179" i="31"/>
  <c r="J173" i="31"/>
  <c r="J170" i="31"/>
  <c r="I164" i="31"/>
  <c r="N164" i="31" s="1"/>
  <c r="O164" i="31" s="1"/>
  <c r="O165" i="31"/>
  <c r="O167" i="31"/>
  <c r="O168" i="31"/>
  <c r="J165" i="31"/>
  <c r="J167" i="31"/>
  <c r="J166" i="31"/>
  <c r="J168" i="31"/>
  <c r="J156" i="31"/>
  <c r="J158" i="31"/>
  <c r="O152" i="31"/>
  <c r="O154" i="31"/>
  <c r="J152" i="31"/>
  <c r="J154" i="31"/>
  <c r="O149" i="31"/>
  <c r="J149" i="31"/>
  <c r="O148" i="31"/>
  <c r="J148" i="31"/>
  <c r="I202" i="31"/>
  <c r="N202" i="31" s="1"/>
  <c r="O202" i="31" s="1"/>
  <c r="L200" i="31"/>
  <c r="I200" i="31"/>
  <c r="N200" i="31" s="1"/>
  <c r="I197" i="31"/>
  <c r="J197" i="31" s="1"/>
  <c r="L195" i="31"/>
  <c r="I195" i="31"/>
  <c r="N195" i="31" s="1"/>
  <c r="I191" i="31"/>
  <c r="N191" i="31" s="1"/>
  <c r="O191" i="31" s="1"/>
  <c r="I188" i="31"/>
  <c r="N188" i="31" s="1"/>
  <c r="O188" i="31" s="1"/>
  <c r="I183" i="31"/>
  <c r="N183" i="31" s="1"/>
  <c r="O183" i="31" s="1"/>
  <c r="L180" i="31"/>
  <c r="I180" i="31"/>
  <c r="N180" i="31" s="1"/>
  <c r="L175" i="31"/>
  <c r="I175" i="31"/>
  <c r="N175" i="31" s="1"/>
  <c r="I172" i="31"/>
  <c r="N172" i="31" s="1"/>
  <c r="L169" i="31"/>
  <c r="I169" i="31"/>
  <c r="N169" i="31" s="1"/>
  <c r="I161" i="31"/>
  <c r="N161" i="31" s="1"/>
  <c r="O161" i="31" s="1"/>
  <c r="I155" i="31"/>
  <c r="N155" i="31" s="1"/>
  <c r="O155" i="31" s="1"/>
  <c r="I150" i="31"/>
  <c r="N150" i="31" s="1"/>
  <c r="O150" i="31" s="1"/>
  <c r="I147" i="31"/>
  <c r="J147" i="31" s="1"/>
  <c r="O144" i="31"/>
  <c r="J144" i="31"/>
  <c r="I143" i="31"/>
  <c r="N143" i="31" s="1"/>
  <c r="O143" i="31" s="1"/>
  <c r="O138" i="31"/>
  <c r="J138" i="31"/>
  <c r="N136" i="31"/>
  <c r="O136" i="31" s="1"/>
  <c r="N133" i="31"/>
  <c r="O133" i="31" s="1"/>
  <c r="O131" i="31"/>
  <c r="J131" i="31"/>
  <c r="K129" i="31"/>
  <c r="O129" i="31"/>
  <c r="J129" i="31"/>
  <c r="I140" i="31"/>
  <c r="N140" i="31" s="1"/>
  <c r="O140" i="31" s="1"/>
  <c r="I137" i="31"/>
  <c r="N137" i="31" s="1"/>
  <c r="O137" i="31" s="1"/>
  <c r="L134" i="31"/>
  <c r="I134" i="31"/>
  <c r="N134" i="31" s="1"/>
  <c r="L130" i="31"/>
  <c r="I130" i="31"/>
  <c r="N130" i="31" s="1"/>
  <c r="L128" i="31"/>
  <c r="I128" i="31"/>
  <c r="N128" i="31" s="1"/>
  <c r="O88" i="31"/>
  <c r="O126" i="31"/>
  <c r="L125" i="31"/>
  <c r="I125" i="31"/>
  <c r="N125" i="31" s="1"/>
  <c r="L123" i="31"/>
  <c r="I123" i="31"/>
  <c r="N123" i="31" s="1"/>
  <c r="L121" i="31"/>
  <c r="I121" i="31"/>
  <c r="N121" i="31" s="1"/>
  <c r="J120" i="31"/>
  <c r="L119" i="31"/>
  <c r="J119" i="31"/>
  <c r="N119" i="31"/>
  <c r="L117" i="31"/>
  <c r="I117" i="31"/>
  <c r="N117" i="31" s="1"/>
  <c r="I114" i="31"/>
  <c r="N114" i="31" s="1"/>
  <c r="O114" i="31" s="1"/>
  <c r="L111" i="31"/>
  <c r="N111" i="31"/>
  <c r="J110" i="31"/>
  <c r="I109" i="31"/>
  <c r="N109" i="31" s="1"/>
  <c r="O109" i="31" s="1"/>
  <c r="L107" i="31"/>
  <c r="I107" i="31"/>
  <c r="N107" i="31" s="1"/>
  <c r="I105" i="31"/>
  <c r="N105" i="31" s="1"/>
  <c r="O105" i="31" s="1"/>
  <c r="N103" i="31"/>
  <c r="O103" i="31" s="1"/>
  <c r="O101" i="31"/>
  <c r="I100" i="31"/>
  <c r="N100" i="31" s="1"/>
  <c r="O100" i="31" s="1"/>
  <c r="O81" i="31"/>
  <c r="M71" i="31"/>
  <c r="O71" i="31" s="1"/>
  <c r="L69" i="31"/>
  <c r="M69" i="31"/>
  <c r="K75" i="31"/>
  <c r="N87" i="31"/>
  <c r="O87" i="31" s="1"/>
  <c r="J93" i="31"/>
  <c r="O93" i="31"/>
  <c r="O97" i="31"/>
  <c r="J97" i="31"/>
  <c r="I96" i="31"/>
  <c r="J96" i="31" s="1"/>
  <c r="N95" i="31"/>
  <c r="O95" i="31" s="1"/>
  <c r="I92" i="31"/>
  <c r="I69" i="31"/>
  <c r="N69" i="31" s="1"/>
  <c r="O91" i="31"/>
  <c r="J91" i="31"/>
  <c r="I90" i="31"/>
  <c r="N90" i="31" s="1"/>
  <c r="O90" i="31" s="1"/>
  <c r="O86" i="31"/>
  <c r="J86" i="31"/>
  <c r="I84" i="31"/>
  <c r="N84" i="31" s="1"/>
  <c r="O84" i="31" s="1"/>
  <c r="L85" i="31"/>
  <c r="I85" i="31"/>
  <c r="N85" i="31" s="1"/>
  <c r="N82" i="31"/>
  <c r="O82" i="31" s="1"/>
  <c r="J80" i="31"/>
  <c r="I79" i="31"/>
  <c r="N75" i="31"/>
  <c r="J75" i="31"/>
  <c r="L75" i="31"/>
  <c r="O75" i="31" l="1"/>
  <c r="O172" i="31"/>
  <c r="O185" i="31"/>
  <c r="J125" i="31"/>
  <c r="O69" i="31"/>
  <c r="J100" i="31"/>
  <c r="J121" i="31"/>
  <c r="J114" i="31"/>
  <c r="J117" i="31"/>
  <c r="J140" i="31"/>
  <c r="J200" i="31"/>
  <c r="O141" i="31"/>
  <c r="J175" i="31"/>
  <c r="J155" i="31"/>
  <c r="J164" i="31"/>
  <c r="J202" i="31"/>
  <c r="O200" i="31"/>
  <c r="O195" i="31"/>
  <c r="J195" i="31"/>
  <c r="J191" i="31"/>
  <c r="J188" i="31"/>
  <c r="J185" i="31"/>
  <c r="J183" i="31"/>
  <c r="O180" i="31"/>
  <c r="J180" i="31"/>
  <c r="O175" i="31"/>
  <c r="J172" i="31"/>
  <c r="O169" i="31"/>
  <c r="J169" i="31"/>
  <c r="J161" i="31"/>
  <c r="J150" i="31"/>
  <c r="J143" i="31"/>
  <c r="J128" i="31"/>
  <c r="J137" i="31"/>
  <c r="O134" i="31"/>
  <c r="J134" i="31"/>
  <c r="O130" i="31"/>
  <c r="J130" i="31"/>
  <c r="O128" i="31"/>
  <c r="O125" i="31"/>
  <c r="O123" i="31"/>
  <c r="J123" i="31"/>
  <c r="O121" i="31"/>
  <c r="O119" i="31"/>
  <c r="O117" i="31"/>
  <c r="O111" i="31"/>
  <c r="J111" i="31"/>
  <c r="J109" i="31"/>
  <c r="J107" i="31"/>
  <c r="O107" i="31"/>
  <c r="J105" i="31"/>
  <c r="J79" i="31"/>
  <c r="J92" i="31"/>
  <c r="J69" i="31"/>
  <c r="J90" i="31"/>
  <c r="J85" i="31"/>
  <c r="J84" i="31"/>
  <c r="O85" i="31"/>
  <c r="M72" i="31" l="1"/>
  <c r="K72" i="31"/>
  <c r="F72" i="31"/>
  <c r="G72" i="31" s="1"/>
  <c r="L72" i="31" s="1"/>
  <c r="I77" i="31"/>
  <c r="J77" i="31" s="1"/>
  <c r="K77" i="31"/>
  <c r="L77" i="31"/>
  <c r="M77" i="31"/>
  <c r="I78" i="31"/>
  <c r="J78" i="31" s="1"/>
  <c r="K78" i="31"/>
  <c r="L78" i="31"/>
  <c r="M78" i="31"/>
  <c r="M76" i="31"/>
  <c r="L76" i="31"/>
  <c r="K76" i="31"/>
  <c r="I76" i="31"/>
  <c r="N76" i="31" s="1"/>
  <c r="M73" i="31"/>
  <c r="L73" i="31"/>
  <c r="K73" i="31"/>
  <c r="I73" i="31"/>
  <c r="N73" i="31" s="1"/>
  <c r="M70" i="31"/>
  <c r="L70" i="31"/>
  <c r="K70" i="31"/>
  <c r="I70" i="31"/>
  <c r="N70" i="31" s="1"/>
  <c r="N68" i="31"/>
  <c r="M68" i="31"/>
  <c r="K68" i="31"/>
  <c r="L68" i="31"/>
  <c r="I56" i="31"/>
  <c r="J56" i="31" s="1"/>
  <c r="K56" i="31"/>
  <c r="L56" i="31"/>
  <c r="M56" i="31"/>
  <c r="I59" i="31"/>
  <c r="J59" i="31" s="1"/>
  <c r="I60" i="31"/>
  <c r="J60" i="31" s="1"/>
  <c r="K60" i="31"/>
  <c r="L60" i="31"/>
  <c r="M60" i="31"/>
  <c r="I61" i="31"/>
  <c r="J61" i="31" s="1"/>
  <c r="K61" i="31"/>
  <c r="L61" i="31"/>
  <c r="M61" i="31"/>
  <c r="I62" i="31"/>
  <c r="J62" i="31" s="1"/>
  <c r="K62" i="31"/>
  <c r="L62" i="31"/>
  <c r="M62" i="31"/>
  <c r="I63" i="31"/>
  <c r="J63" i="31" s="1"/>
  <c r="K63" i="31"/>
  <c r="L63" i="31"/>
  <c r="M63" i="31"/>
  <c r="I64" i="31"/>
  <c r="J64" i="31" s="1"/>
  <c r="K64" i="31"/>
  <c r="L64" i="31"/>
  <c r="M64" i="31"/>
  <c r="I65" i="31"/>
  <c r="J65" i="31" s="1"/>
  <c r="K65" i="31"/>
  <c r="L65" i="31"/>
  <c r="M65" i="31"/>
  <c r="I66" i="31"/>
  <c r="J66" i="31" s="1"/>
  <c r="K66" i="31"/>
  <c r="L66" i="31"/>
  <c r="M66" i="31"/>
  <c r="I67" i="31"/>
  <c r="J67" i="31" s="1"/>
  <c r="K67" i="31"/>
  <c r="L67" i="31"/>
  <c r="M67" i="31"/>
  <c r="M58" i="31"/>
  <c r="L58" i="31"/>
  <c r="K58" i="31"/>
  <c r="I58" i="31"/>
  <c r="N58" i="31" s="1"/>
  <c r="M55" i="31"/>
  <c r="L55" i="31"/>
  <c r="K55" i="31"/>
  <c r="I55" i="31"/>
  <c r="N55" i="31" s="1"/>
  <c r="F57" i="31"/>
  <c r="G57" i="31" s="1"/>
  <c r="I57" i="31" s="1"/>
  <c r="M54" i="31"/>
  <c r="K54" i="31"/>
  <c r="F54" i="31"/>
  <c r="G54" i="31" s="1"/>
  <c r="I54" i="31" s="1"/>
  <c r="M53" i="31"/>
  <c r="L53" i="31"/>
  <c r="K53" i="31"/>
  <c r="I53" i="31"/>
  <c r="N53" i="31" s="1"/>
  <c r="M52" i="31"/>
  <c r="K52" i="31"/>
  <c r="F52" i="31"/>
  <c r="G52" i="31" s="1"/>
  <c r="I49" i="31"/>
  <c r="F48" i="31"/>
  <c r="G48" i="31" s="1"/>
  <c r="D48" i="31"/>
  <c r="D49" i="31" s="1"/>
  <c r="K46" i="31"/>
  <c r="M46" i="31"/>
  <c r="O46" i="31" s="1"/>
  <c r="O68" i="31" l="1"/>
  <c r="J70" i="31"/>
  <c r="J73" i="31"/>
  <c r="O73" i="31"/>
  <c r="J76" i="31"/>
  <c r="O76" i="31"/>
  <c r="K48" i="31"/>
  <c r="O70" i="31"/>
  <c r="M49" i="31"/>
  <c r="K49" i="31"/>
  <c r="L49" i="31"/>
  <c r="M48" i="31"/>
  <c r="N49" i="31"/>
  <c r="J58" i="31"/>
  <c r="N56" i="31"/>
  <c r="O56" i="31" s="1"/>
  <c r="N77" i="31"/>
  <c r="O77" i="31" s="1"/>
  <c r="I72" i="31"/>
  <c r="N72" i="31" s="1"/>
  <c r="O72" i="31" s="1"/>
  <c r="N78" i="31"/>
  <c r="O78" i="31" s="1"/>
  <c r="N67" i="31"/>
  <c r="O67" i="31" s="1"/>
  <c r="N65" i="31"/>
  <c r="O65" i="31" s="1"/>
  <c r="N63" i="31"/>
  <c r="O63" i="31" s="1"/>
  <c r="N61" i="31"/>
  <c r="O61" i="31" s="1"/>
  <c r="L48" i="31"/>
  <c r="I48" i="31"/>
  <c r="N48" i="31" s="1"/>
  <c r="I52" i="31"/>
  <c r="N52" i="31" s="1"/>
  <c r="N66" i="31"/>
  <c r="O66" i="31" s="1"/>
  <c r="N64" i="31"/>
  <c r="O64" i="31" s="1"/>
  <c r="N62" i="31"/>
  <c r="O62" i="31" s="1"/>
  <c r="N60" i="31"/>
  <c r="O60" i="31" s="1"/>
  <c r="O58" i="31"/>
  <c r="O55" i="31"/>
  <c r="J55" i="31"/>
  <c r="J57" i="31"/>
  <c r="L54" i="31"/>
  <c r="J54" i="31"/>
  <c r="N54" i="31"/>
  <c r="O53" i="31"/>
  <c r="L52" i="31"/>
  <c r="J53" i="31"/>
  <c r="J49" i="31"/>
  <c r="O49" i="31" l="1"/>
  <c r="J72" i="31"/>
  <c r="O48" i="31"/>
  <c r="J52" i="31"/>
  <c r="O52" i="31"/>
  <c r="O54" i="31"/>
  <c r="J48" i="31"/>
  <c r="F40" i="31" l="1"/>
  <c r="G40" i="31" s="1"/>
  <c r="K40" i="31"/>
  <c r="M40" i="31"/>
  <c r="F42" i="31"/>
  <c r="G42" i="31" s="1"/>
  <c r="K42" i="31"/>
  <c r="M42" i="31"/>
  <c r="F43" i="31"/>
  <c r="G43" i="31" s="1"/>
  <c r="I43" i="31" s="1"/>
  <c r="K43" i="31"/>
  <c r="M43" i="31"/>
  <c r="F44" i="31"/>
  <c r="G44" i="31" s="1"/>
  <c r="L44" i="31" s="1"/>
  <c r="K44" i="31"/>
  <c r="M44" i="31"/>
  <c r="F45" i="31"/>
  <c r="G45" i="31" s="1"/>
  <c r="I45" i="31" s="1"/>
  <c r="K45" i="31"/>
  <c r="M45" i="31"/>
  <c r="F47" i="31"/>
  <c r="G47" i="31" s="1"/>
  <c r="K47" i="31"/>
  <c r="M47" i="31"/>
  <c r="G50" i="31"/>
  <c r="I50" i="31" s="1"/>
  <c r="K50" i="31"/>
  <c r="M50" i="31"/>
  <c r="M41" i="31"/>
  <c r="K41" i="31"/>
  <c r="F41" i="31"/>
  <c r="G41" i="31" s="1"/>
  <c r="I41" i="31" s="1"/>
  <c r="M38" i="31"/>
  <c r="K38" i="31"/>
  <c r="F38" i="31"/>
  <c r="G38" i="31" s="1"/>
  <c r="I38" i="31" s="1"/>
  <c r="I42" i="31" l="1"/>
  <c r="J42" i="31" s="1"/>
  <c r="L42" i="31"/>
  <c r="I47" i="31"/>
  <c r="J47" i="31" s="1"/>
  <c r="L47" i="31"/>
  <c r="I44" i="31"/>
  <c r="J44" i="31" s="1"/>
  <c r="L40" i="31"/>
  <c r="I40" i="31"/>
  <c r="N40" i="31" s="1"/>
  <c r="L50" i="31"/>
  <c r="N50" i="31"/>
  <c r="L45" i="31"/>
  <c r="N45" i="31"/>
  <c r="L43" i="31"/>
  <c r="N43" i="31"/>
  <c r="L41" i="31"/>
  <c r="J41" i="31"/>
  <c r="N41" i="31"/>
  <c r="L38" i="31"/>
  <c r="J38" i="31"/>
  <c r="N38" i="31"/>
  <c r="N44" i="31" l="1"/>
  <c r="O44" i="31" s="1"/>
  <c r="N42" i="31"/>
  <c r="O42" i="31" s="1"/>
  <c r="N47" i="31"/>
  <c r="O47" i="31" s="1"/>
  <c r="J40" i="31"/>
  <c r="O40" i="31"/>
  <c r="O43" i="31"/>
  <c r="O50" i="31"/>
  <c r="J43" i="31"/>
  <c r="O45" i="31"/>
  <c r="J50" i="31"/>
  <c r="J45" i="31"/>
  <c r="O41" i="31"/>
  <c r="O38" i="31"/>
  <c r="C5" i="31" l="1"/>
  <c r="C6" i="31"/>
  <c r="C7" i="31"/>
  <c r="C8" i="31"/>
  <c r="J11" i="31"/>
  <c r="F19" i="31"/>
  <c r="G19" i="31" s="1"/>
  <c r="I19" i="31" s="1"/>
  <c r="K19" i="31"/>
  <c r="M19" i="31"/>
  <c r="F20" i="31"/>
  <c r="G20" i="31" s="1"/>
  <c r="K20" i="31"/>
  <c r="M20" i="31"/>
  <c r="F21" i="31"/>
  <c r="G21" i="31" s="1"/>
  <c r="I21" i="31" s="1"/>
  <c r="K21" i="31"/>
  <c r="M21" i="31"/>
  <c r="F22" i="31"/>
  <c r="G22" i="31" s="1"/>
  <c r="K22" i="31"/>
  <c r="M22" i="31"/>
  <c r="F23" i="31"/>
  <c r="G23" i="31" s="1"/>
  <c r="I23" i="31" s="1"/>
  <c r="K23" i="31"/>
  <c r="M23" i="31"/>
  <c r="F24" i="31"/>
  <c r="G24" i="31" s="1"/>
  <c r="K24" i="31"/>
  <c r="M24" i="31"/>
  <c r="F25" i="31"/>
  <c r="G25" i="31" s="1"/>
  <c r="I25" i="31" s="1"/>
  <c r="K25" i="31"/>
  <c r="M25" i="31"/>
  <c r="F26" i="31"/>
  <c r="G26" i="31" s="1"/>
  <c r="K26" i="31"/>
  <c r="M26" i="31"/>
  <c r="F27" i="31"/>
  <c r="G27" i="31" s="1"/>
  <c r="I27" i="31" s="1"/>
  <c r="K27" i="31"/>
  <c r="M27" i="31"/>
  <c r="F28" i="31"/>
  <c r="G28" i="31" s="1"/>
  <c r="K28" i="31"/>
  <c r="M28" i="31"/>
  <c r="F29" i="31"/>
  <c r="G29" i="31" s="1"/>
  <c r="I29" i="31" s="1"/>
  <c r="K29" i="31"/>
  <c r="M29" i="31"/>
  <c r="F30" i="31"/>
  <c r="G30" i="31" s="1"/>
  <c r="K30" i="31"/>
  <c r="M30" i="31"/>
  <c r="F31" i="31"/>
  <c r="G31" i="31" s="1"/>
  <c r="I31" i="31" s="1"/>
  <c r="K31" i="31"/>
  <c r="M31" i="31"/>
  <c r="F32" i="31"/>
  <c r="G32" i="31" s="1"/>
  <c r="K32" i="31"/>
  <c r="M32" i="31"/>
  <c r="F33" i="31"/>
  <c r="G33" i="31" s="1"/>
  <c r="I33" i="31" s="1"/>
  <c r="K33" i="31"/>
  <c r="M33" i="31"/>
  <c r="F34" i="31"/>
  <c r="G34" i="31" s="1"/>
  <c r="K34" i="31"/>
  <c r="M34" i="31"/>
  <c r="F35" i="31"/>
  <c r="G35" i="31" s="1"/>
  <c r="I35" i="31" s="1"/>
  <c r="K35" i="31"/>
  <c r="M35" i="31"/>
  <c r="F36" i="31"/>
  <c r="G36" i="31" s="1"/>
  <c r="K36" i="31"/>
  <c r="M36" i="31"/>
  <c r="D59" i="31"/>
  <c r="D57" i="31" s="1"/>
  <c r="D80" i="31"/>
  <c r="D92" i="31"/>
  <c r="D96" i="31"/>
  <c r="D106" i="31"/>
  <c r="D108" i="31"/>
  <c r="D110" i="31"/>
  <c r="D112" i="31"/>
  <c r="D113" i="31"/>
  <c r="D115" i="31"/>
  <c r="D118" i="31"/>
  <c r="D120" i="31"/>
  <c r="D124" i="31"/>
  <c r="D135" i="31"/>
  <c r="D145" i="31"/>
  <c r="D147" i="31"/>
  <c r="D162" i="31"/>
  <c r="D166" i="31"/>
  <c r="D170" i="31"/>
  <c r="D173" i="31"/>
  <c r="D176" i="31"/>
  <c r="D184" i="31"/>
  <c r="D197" i="31"/>
  <c r="D198" i="31" s="1"/>
  <c r="D201" i="31"/>
  <c r="D203" i="31"/>
  <c r="D206" i="31"/>
  <c r="D199" i="31" l="1"/>
  <c r="N199" i="31" s="1"/>
  <c r="K206" i="31"/>
  <c r="M206" i="31"/>
  <c r="L206" i="31"/>
  <c r="N206" i="31"/>
  <c r="M204" i="31"/>
  <c r="K204" i="31"/>
  <c r="L204" i="31"/>
  <c r="N204" i="31"/>
  <c r="M198" i="31"/>
  <c r="K198" i="31"/>
  <c r="L198" i="31"/>
  <c r="N198" i="31"/>
  <c r="N196" i="31"/>
  <c r="L196" i="31"/>
  <c r="M196" i="31"/>
  <c r="K196" i="31"/>
  <c r="N184" i="31"/>
  <c r="L184" i="31"/>
  <c r="M184" i="31"/>
  <c r="K184" i="31"/>
  <c r="M166" i="31"/>
  <c r="K166" i="31"/>
  <c r="L166" i="31"/>
  <c r="N166" i="31"/>
  <c r="L120" i="31"/>
  <c r="M120" i="31"/>
  <c r="K120" i="31"/>
  <c r="N120" i="31"/>
  <c r="M115" i="31"/>
  <c r="K115" i="31"/>
  <c r="N115" i="31"/>
  <c r="L115" i="31"/>
  <c r="M112" i="31"/>
  <c r="K112" i="31"/>
  <c r="N112" i="31"/>
  <c r="L112" i="31"/>
  <c r="M203" i="31"/>
  <c r="K203" i="31"/>
  <c r="L203" i="31"/>
  <c r="N203" i="31"/>
  <c r="K197" i="31"/>
  <c r="M197" i="31"/>
  <c r="L197" i="31"/>
  <c r="N197" i="31"/>
  <c r="N187" i="31"/>
  <c r="L187" i="31"/>
  <c r="M187" i="31"/>
  <c r="K187" i="31"/>
  <c r="M186" i="31"/>
  <c r="K186" i="31"/>
  <c r="L186" i="31"/>
  <c r="N186" i="31"/>
  <c r="M176" i="31"/>
  <c r="K176" i="31"/>
  <c r="L176" i="31"/>
  <c r="N176" i="31"/>
  <c r="M170" i="31"/>
  <c r="K170" i="31"/>
  <c r="L170" i="31"/>
  <c r="N170" i="31"/>
  <c r="L162" i="31"/>
  <c r="M162" i="31"/>
  <c r="K162" i="31"/>
  <c r="N162" i="31"/>
  <c r="K145" i="31"/>
  <c r="M145" i="31"/>
  <c r="L145" i="31"/>
  <c r="N145" i="31"/>
  <c r="M124" i="31"/>
  <c r="K124" i="31"/>
  <c r="N124" i="31"/>
  <c r="L124" i="31"/>
  <c r="L118" i="31"/>
  <c r="M118" i="31"/>
  <c r="K118" i="31"/>
  <c r="N118" i="31"/>
  <c r="L113" i="31"/>
  <c r="K113" i="31"/>
  <c r="M113" i="31"/>
  <c r="N113" i="31"/>
  <c r="L110" i="31"/>
  <c r="M110" i="31"/>
  <c r="K110" i="31"/>
  <c r="N110" i="31"/>
  <c r="L106" i="31"/>
  <c r="M106" i="31"/>
  <c r="K106" i="31"/>
  <c r="N106" i="31"/>
  <c r="N201" i="31"/>
  <c r="L201" i="31"/>
  <c r="M201" i="31"/>
  <c r="K201" i="31"/>
  <c r="M173" i="31"/>
  <c r="K173" i="31"/>
  <c r="L173" i="31"/>
  <c r="N173" i="31"/>
  <c r="L135" i="31"/>
  <c r="M135" i="31"/>
  <c r="K135" i="31"/>
  <c r="N135" i="31"/>
  <c r="M108" i="31"/>
  <c r="K108" i="31"/>
  <c r="N108" i="31"/>
  <c r="L108" i="31"/>
  <c r="M147" i="31"/>
  <c r="K147" i="31"/>
  <c r="L147" i="31"/>
  <c r="N147" i="31"/>
  <c r="K96" i="31"/>
  <c r="M96" i="31"/>
  <c r="L96" i="31"/>
  <c r="N96" i="31"/>
  <c r="D79" i="31"/>
  <c r="M80" i="31"/>
  <c r="K80" i="31"/>
  <c r="L80" i="31"/>
  <c r="N80" i="31"/>
  <c r="M92" i="31"/>
  <c r="K92" i="31"/>
  <c r="L92" i="31"/>
  <c r="N92" i="31"/>
  <c r="K59" i="31"/>
  <c r="M59" i="31"/>
  <c r="L59" i="31"/>
  <c r="N59" i="31"/>
  <c r="L25" i="31"/>
  <c r="L23" i="31"/>
  <c r="L21" i="31"/>
  <c r="L19" i="31"/>
  <c r="L31" i="31"/>
  <c r="L29" i="31"/>
  <c r="L27" i="31"/>
  <c r="K57" i="31"/>
  <c r="M57" i="31"/>
  <c r="L57" i="31"/>
  <c r="N57" i="31"/>
  <c r="I32" i="31"/>
  <c r="J32" i="31" s="1"/>
  <c r="L32" i="31"/>
  <c r="L30" i="31"/>
  <c r="I30" i="31"/>
  <c r="N30" i="31" s="1"/>
  <c r="J29" i="31"/>
  <c r="N29" i="31"/>
  <c r="L28" i="31"/>
  <c r="I28" i="31"/>
  <c r="N28" i="31" s="1"/>
  <c r="J27" i="31"/>
  <c r="N27" i="31"/>
  <c r="L26" i="31"/>
  <c r="I26" i="31"/>
  <c r="N26" i="31" s="1"/>
  <c r="J25" i="31"/>
  <c r="N25" i="31"/>
  <c r="L24" i="31"/>
  <c r="I24" i="31"/>
  <c r="N24" i="31" s="1"/>
  <c r="J23" i="31"/>
  <c r="N23" i="31"/>
  <c r="L22" i="31"/>
  <c r="I22" i="31"/>
  <c r="N22" i="31" s="1"/>
  <c r="J21" i="31"/>
  <c r="N21" i="31"/>
  <c r="O21" i="31" s="1"/>
  <c r="L20" i="31"/>
  <c r="I20" i="31"/>
  <c r="N20" i="31" s="1"/>
  <c r="J19" i="31"/>
  <c r="N19" i="31"/>
  <c r="I36" i="31"/>
  <c r="J36" i="31" s="1"/>
  <c r="L36" i="31"/>
  <c r="N31" i="31"/>
  <c r="J31" i="31"/>
  <c r="I34" i="31"/>
  <c r="J34" i="31" s="1"/>
  <c r="L34" i="31"/>
  <c r="L35" i="31"/>
  <c r="L33" i="31"/>
  <c r="J35" i="31"/>
  <c r="N35" i="31"/>
  <c r="J33" i="31"/>
  <c r="N33" i="31"/>
  <c r="O23" i="31" l="1"/>
  <c r="K199" i="31"/>
  <c r="M199" i="31"/>
  <c r="O199" i="31" s="1"/>
  <c r="N32" i="31"/>
  <c r="O32" i="31" s="1"/>
  <c r="L199" i="31"/>
  <c r="N34" i="31"/>
  <c r="O29" i="31"/>
  <c r="O35" i="31"/>
  <c r="O20" i="31"/>
  <c r="O22" i="31"/>
  <c r="O25" i="31"/>
  <c r="O19" i="31"/>
  <c r="O31" i="31"/>
  <c r="O27" i="31"/>
  <c r="O92" i="31"/>
  <c r="O80" i="31"/>
  <c r="O108" i="31"/>
  <c r="O201" i="31"/>
  <c r="O124" i="31"/>
  <c r="O145" i="31"/>
  <c r="O187" i="31"/>
  <c r="O112" i="31"/>
  <c r="O115" i="31"/>
  <c r="O184" i="31"/>
  <c r="O196" i="31"/>
  <c r="O206" i="31"/>
  <c r="N36" i="31"/>
  <c r="O135" i="31"/>
  <c r="O173" i="31"/>
  <c r="O106" i="31"/>
  <c r="O113" i="31"/>
  <c r="O118" i="31"/>
  <c r="O162" i="31"/>
  <c r="O170" i="31"/>
  <c r="O176" i="31"/>
  <c r="O186" i="31"/>
  <c r="O197" i="31"/>
  <c r="O203" i="31"/>
  <c r="O120" i="31"/>
  <c r="O166" i="31"/>
  <c r="O198" i="31"/>
  <c r="O204" i="31"/>
  <c r="O110" i="31"/>
  <c r="O147" i="31"/>
  <c r="M79" i="31"/>
  <c r="M275" i="31" s="1"/>
  <c r="M277" i="31" s="1"/>
  <c r="K79" i="31"/>
  <c r="K275" i="31" s="1"/>
  <c r="K277" i="31" s="1"/>
  <c r="L79" i="31"/>
  <c r="L275" i="31" s="1"/>
  <c r="L277" i="31" s="1"/>
  <c r="N79" i="31"/>
  <c r="O33" i="31"/>
  <c r="O59" i="31"/>
  <c r="O96" i="31"/>
  <c r="O26" i="31"/>
  <c r="O30" i="31"/>
  <c r="O34" i="31"/>
  <c r="O57" i="31"/>
  <c r="J22" i="31"/>
  <c r="O24" i="31"/>
  <c r="J26" i="31"/>
  <c r="O28" i="31"/>
  <c r="J30" i="31"/>
  <c r="J20" i="31"/>
  <c r="J24" i="31"/>
  <c r="J28" i="31"/>
  <c r="N275" i="31" l="1"/>
  <c r="N277" i="31" s="1"/>
  <c r="O36" i="31"/>
  <c r="O79" i="31"/>
  <c r="O275" i="31" l="1"/>
  <c r="O276" i="31" s="1"/>
  <c r="O277" i="31" s="1"/>
  <c r="J10" i="31" s="1"/>
</calcChain>
</file>

<file path=xl/comments1.xml><?xml version="1.0" encoding="utf-8"?>
<comments xmlns="http://schemas.openxmlformats.org/spreadsheetml/2006/main">
  <authors>
    <author>Jirjens</author>
  </authors>
  <commentList>
    <comment ref="D36" authorId="0" shapeId="0">
      <text>
        <r>
          <rPr>
            <b/>
            <sz val="10"/>
            <color indexed="81"/>
            <rFont val="Tahoma"/>
            <family val="2"/>
            <charset val="186"/>
          </rPr>
          <t>Jirjens:</t>
        </r>
        <r>
          <rPr>
            <sz val="10"/>
            <color indexed="81"/>
            <rFont val="Tahoma"/>
            <family val="2"/>
            <charset val="186"/>
          </rPr>
          <t xml:space="preserve">
Apšaubāms būvdarbu apjoms vai mērvienība</t>
        </r>
      </text>
    </comment>
    <comment ref="B46" authorId="0" shapeId="0">
      <text>
        <r>
          <rPr>
            <b/>
            <sz val="10"/>
            <color indexed="81"/>
            <rFont val="Tahoma"/>
            <family val="2"/>
            <charset val="186"/>
          </rPr>
          <t>Jirjens:</t>
        </r>
        <r>
          <rPr>
            <sz val="10"/>
            <color indexed="81"/>
            <rFont val="Tahoma"/>
            <family val="2"/>
            <charset val="186"/>
          </rPr>
          <t xml:space="preserve">
Vai tāds netrūkst?
</t>
        </r>
      </text>
    </comment>
  </commentList>
</comments>
</file>

<file path=xl/sharedStrings.xml><?xml version="1.0" encoding="utf-8"?>
<sst xmlns="http://schemas.openxmlformats.org/spreadsheetml/2006/main" count="936" uniqueCount="613">
  <si>
    <t>Montāžas palīgmateriāli</t>
  </si>
  <si>
    <t xml:space="preserve">Pārbaudīja: </t>
  </si>
  <si>
    <t>Tāme sastādīta:</t>
  </si>
  <si>
    <t>Nr.p.k.</t>
  </si>
  <si>
    <t>Kopā</t>
  </si>
  <si>
    <t>Sastādīja</t>
  </si>
  <si>
    <t>Ls</t>
  </si>
  <si>
    <t>Tāmes izmaksas:</t>
  </si>
  <si>
    <t>t</t>
  </si>
  <si>
    <t>Meh</t>
  </si>
  <si>
    <t>Caurule PE OD32</t>
  </si>
  <si>
    <t>Tāme sastādīta 2011. gada tirgus cenās, pamatojoties uz tehnisko projektu</t>
  </si>
  <si>
    <r>
      <t>m</t>
    </r>
    <r>
      <rPr>
        <i/>
        <vertAlign val="superscript"/>
        <sz val="10"/>
        <rFont val="Arial"/>
        <family val="2"/>
        <charset val="186"/>
      </rPr>
      <t>3</t>
    </r>
  </si>
  <si>
    <t>ha</t>
  </si>
  <si>
    <t>gb.</t>
  </si>
  <si>
    <t>Objekta nosaukums</t>
  </si>
  <si>
    <t>Objekta adrese</t>
  </si>
  <si>
    <t>Pasūtītājs</t>
  </si>
  <si>
    <t>Līguma Nr.</t>
  </si>
  <si>
    <t>Nr.</t>
  </si>
  <si>
    <t>Darbu un izdevumu nosaukums</t>
  </si>
  <si>
    <t>Mērv.</t>
  </si>
  <si>
    <t>Daudz.</t>
  </si>
  <si>
    <t>Vienības izmaksa</t>
  </si>
  <si>
    <t>Kopējā izmaksa</t>
  </si>
  <si>
    <t>Laika norm. c/h</t>
  </si>
  <si>
    <t>Darba samaksas likme (Ls/h)</t>
  </si>
  <si>
    <t>Darba alga Ls/h</t>
  </si>
  <si>
    <t>Materiāli     Ls</t>
  </si>
  <si>
    <t>Mehānismi Ls</t>
  </si>
  <si>
    <t>Darbietilpība (c/h)</t>
  </si>
  <si>
    <t>Darba alga Ls</t>
  </si>
  <si>
    <t>Materiāli        Ls</t>
  </si>
  <si>
    <t>kompl.</t>
  </si>
  <si>
    <t>gb</t>
  </si>
  <si>
    <t>Montāžas palīgmateriāli un stiprinājumi</t>
  </si>
  <si>
    <t>m</t>
  </si>
  <si>
    <t>Kopā    Ls</t>
  </si>
  <si>
    <t>Laika norm.c/h</t>
  </si>
  <si>
    <t>Kopā:</t>
  </si>
  <si>
    <t>Materiālu apmaiņas un būvgružu transporta izdevumi</t>
  </si>
  <si>
    <t>kg</t>
  </si>
  <si>
    <t>vieta</t>
  </si>
  <si>
    <t>m2</t>
  </si>
  <si>
    <t>m3</t>
  </si>
  <si>
    <t>Betons B15</t>
  </si>
  <si>
    <t>kompl</t>
  </si>
  <si>
    <t>Atloku aizbīdnis DN100</t>
  </si>
  <si>
    <t xml:space="preserve">Pagaidu balsts </t>
  </si>
  <si>
    <t>Līmeņa devējs</t>
  </si>
  <si>
    <t>Nerūsējošās tērauda caurules Ø 114,3x2</t>
  </si>
  <si>
    <t>Nerūsējošās tērauda caurules Ø 33,7x2,0</t>
  </si>
  <si>
    <t>Atloks tērauda caurulēm  DN 100</t>
  </si>
  <si>
    <t>Atloks tērauda caurulēm  DN 25</t>
  </si>
  <si>
    <t>NT DN 100/100 trejgabals, metināms</t>
  </si>
  <si>
    <t>NT DN 100/25 trejgabals, metināms</t>
  </si>
  <si>
    <t>NT pāreja DN250/100</t>
  </si>
  <si>
    <t>Metinamais lodveida ventilis DN100</t>
  </si>
  <si>
    <t>Metinamais lodveida ventilis DN25</t>
  </si>
  <si>
    <t>Lodveida pretvārsts ar atloku DN100</t>
  </si>
  <si>
    <t>Pāreja PP OD110/ PP OD160</t>
  </si>
  <si>
    <t>Aizsargčaula DN110 PP caurulei</t>
  </si>
  <si>
    <t>Caurules kronšteins ar gumiju DN 100xM10</t>
  </si>
  <si>
    <t>Plakandzelzs 25x5mm , 10m</t>
  </si>
  <si>
    <r>
      <t>Hidrofors DE800, 10bar/70</t>
    </r>
    <r>
      <rPr>
        <vertAlign val="superscript"/>
        <sz val="10"/>
        <rFont val="Arial"/>
        <family val="2"/>
        <charset val="186"/>
      </rPr>
      <t>o</t>
    </r>
    <r>
      <rPr>
        <sz val="10"/>
        <rFont val="Arial"/>
        <family val="2"/>
        <charset val="186"/>
      </rPr>
      <t>C, V=800l</t>
    </r>
  </si>
  <si>
    <t>PP-R  plastmasas caurule Dn40, PN10</t>
  </si>
  <si>
    <t>PP  trejgabals Dn40</t>
  </si>
  <si>
    <t>Metinamais lodveida ventilis DN40</t>
  </si>
  <si>
    <t>Vadības bloks art.sukņu vadībai ar spiediena sensoru, ūdens līmeņa devējam, komplektā ar savienošiem kabeļiem (sk.pask.raksta 3.4 punkta)</t>
  </si>
  <si>
    <t xml:space="preserve">  Betons B 20</t>
  </si>
  <si>
    <r>
      <t>m</t>
    </r>
    <r>
      <rPr>
        <vertAlign val="superscript"/>
        <sz val="10"/>
        <rFont val="Arial"/>
        <family val="2"/>
      </rPr>
      <t>3</t>
    </r>
  </si>
  <si>
    <t>Betons B7,5</t>
  </si>
  <si>
    <t>Ruberoīds 2 kārtas</t>
  </si>
  <si>
    <t>Bitumena mastika</t>
  </si>
  <si>
    <t>kg.</t>
  </si>
  <si>
    <t>Stiegru siets Ø8/Ø8 s150/150</t>
  </si>
  <si>
    <r>
      <t>m</t>
    </r>
    <r>
      <rPr>
        <vertAlign val="superscript"/>
        <sz val="10"/>
        <rFont val="Arial"/>
        <family val="2"/>
        <charset val="186"/>
      </rPr>
      <t>2</t>
    </r>
  </si>
  <si>
    <t>Antiseptizētas margas 50x50mm</t>
  </si>
  <si>
    <t>Materiāli veidņiem (saplāksnis, zāģmateriāli, balsti u.c)</t>
  </si>
  <si>
    <t>Betons B25</t>
  </si>
  <si>
    <t>Gludais atloks tērauda caurulēm  DN 100</t>
  </si>
  <si>
    <t>Noslēgatloks DN100</t>
  </si>
  <si>
    <t>Bez šuvju hidroizolācija materiāls 2 kārtas</t>
  </si>
  <si>
    <t>Taisnstūrveida caurules 120x60x6</t>
  </si>
  <si>
    <t xml:space="preserve">  Propāns</t>
  </si>
  <si>
    <t>bal</t>
  </si>
  <si>
    <t>Java B-12.5</t>
  </si>
  <si>
    <t>Antiseptizēti zāģmateriāli</t>
  </si>
  <si>
    <t>Ruberoīds</t>
  </si>
  <si>
    <t>Plakandzelzs 25x25, l=1000, 12gb.</t>
  </si>
  <si>
    <t>Montāžas palīgmateriāli( būvkalumi, skruves, naglas)</t>
  </si>
  <si>
    <t>Antiseptizētas latas 32x100mm ar soli 450</t>
  </si>
  <si>
    <t>Montāžas palīgmateriāli (skruves, naglas)</t>
  </si>
  <si>
    <t>Pretkondensāta plēve</t>
  </si>
  <si>
    <t>Jumta lūka 600x600</t>
  </si>
  <si>
    <t>Akmens vate Paroc WAS 25 b=30mm</t>
  </si>
  <si>
    <r>
      <t>m</t>
    </r>
    <r>
      <rPr>
        <vertAlign val="superscript"/>
        <sz val="10"/>
        <rFont val="Arial"/>
        <family val="2"/>
      </rPr>
      <t>2</t>
    </r>
  </si>
  <si>
    <t>Akmens vate Paroc UNS 37 b=100mm</t>
  </si>
  <si>
    <t>Tvaika izolācija</t>
  </si>
  <si>
    <t xml:space="preserve"> Krāsots dēlis jumta malām 25x120</t>
  </si>
  <si>
    <t>Logs L-1</t>
  </si>
  <si>
    <t>Logs L-2</t>
  </si>
  <si>
    <t xml:space="preserve">Palodze (ārējā) skārda </t>
  </si>
  <si>
    <t>Montāžs palīgmateriāli (skrūves, blīvēšanas, apdares materiāli, apdares līstes u.c.)</t>
  </si>
  <si>
    <t>Durvis D-1</t>
  </si>
  <si>
    <t>Kompensacijas šuve 2.kārtas ruberoīda</t>
  </si>
  <si>
    <t>Esošā ūdenstorņa rekonstrukcija</t>
  </si>
  <si>
    <t>Tērauda jumta seguma nojaukšana</t>
  </si>
  <si>
    <t>Latojuma demontāža</t>
  </si>
  <si>
    <t>Tērauda cauruļu ar veidgabaliem demontāža</t>
  </si>
  <si>
    <t>Dzelzsbetona  pārseguma zem rezervuāra  demontāža</t>
  </si>
  <si>
    <t>Grīdas betona pamatojuma demontāža (pagrabā)</t>
  </si>
  <si>
    <t>Nojaukto konstrukciju un būvgružu savākšana un iekraušana pašizgāzējos</t>
  </si>
  <si>
    <t>Pārslēgšana esoša ūdensvada OD32</t>
  </si>
  <si>
    <t>Dzeramā ūdens rezervuārs ar tilpumu 22,3m3, diametrā 3,06m, augstumā 3,6m ar ar standarta aprīkojumu: galvanizēta tērauda loksnes, aluminija pārsegs, 1,0 mm biezs ieklājums- membrāna, apkalpes trepes, nerūsējoša tērauda savienojumi stāvvadu pievienošanai.</t>
  </si>
  <si>
    <t>Līmeņa devēja uzstādīšana</t>
  </si>
  <si>
    <t>Nerūsējošo tērauda cauruļu ar veidgabaliem uzstādīšana</t>
  </si>
  <si>
    <r>
      <t>NT DN 100 līkums 90</t>
    </r>
    <r>
      <rPr>
        <i/>
        <vertAlign val="superscript"/>
        <sz val="10"/>
        <rFont val="Arial"/>
        <family val="2"/>
        <charset val="186"/>
      </rPr>
      <t>o</t>
    </r>
    <r>
      <rPr>
        <i/>
        <sz val="10"/>
        <rFont val="Arial"/>
        <family val="2"/>
        <charset val="186"/>
      </rPr>
      <t>, metināms</t>
    </r>
  </si>
  <si>
    <r>
      <t>NT DN 100 līkums 45</t>
    </r>
    <r>
      <rPr>
        <i/>
        <vertAlign val="superscript"/>
        <sz val="10"/>
        <rFont val="Arial"/>
        <family val="2"/>
        <charset val="186"/>
      </rPr>
      <t>o</t>
    </r>
    <r>
      <rPr>
        <i/>
        <sz val="10"/>
        <rFont val="Arial"/>
        <family val="2"/>
        <charset val="186"/>
      </rPr>
      <t>, metināms</t>
    </r>
  </si>
  <si>
    <r>
      <t>NT DN 25 līkums 20</t>
    </r>
    <r>
      <rPr>
        <i/>
        <vertAlign val="superscript"/>
        <sz val="10"/>
        <rFont val="Arial"/>
        <family val="2"/>
        <charset val="186"/>
      </rPr>
      <t>o</t>
    </r>
    <r>
      <rPr>
        <i/>
        <sz val="10"/>
        <rFont val="Arial"/>
        <family val="2"/>
        <charset val="186"/>
      </rPr>
      <t>, metināms</t>
    </r>
  </si>
  <si>
    <t xml:space="preserve">Ventīļu, aizbīdņu uzstādīšana </t>
  </si>
  <si>
    <r>
      <t>PP līkums 90</t>
    </r>
    <r>
      <rPr>
        <i/>
        <vertAlign val="superscript"/>
        <sz val="10"/>
        <rFont val="Arial"/>
        <family val="2"/>
        <charset val="186"/>
      </rPr>
      <t>o</t>
    </r>
    <r>
      <rPr>
        <i/>
        <sz val="10"/>
        <rFont val="Arial"/>
        <family val="2"/>
        <charset val="186"/>
      </rPr>
      <t xml:space="preserve"> OD 110</t>
    </r>
  </si>
  <si>
    <t xml:space="preserve">Hidrofora uzstādīšana </t>
  </si>
  <si>
    <r>
      <t>PP līkums 90</t>
    </r>
    <r>
      <rPr>
        <i/>
        <vertAlign val="superscript"/>
        <sz val="10"/>
        <rFont val="Arial"/>
        <family val="2"/>
        <charset val="186"/>
      </rPr>
      <t>o</t>
    </r>
    <r>
      <rPr>
        <sz val="10"/>
        <rFont val="Arial"/>
        <family val="2"/>
        <charset val="186"/>
      </rPr>
      <t xml:space="preserve"> Dn40</t>
    </r>
  </si>
  <si>
    <r>
      <t>m</t>
    </r>
    <r>
      <rPr>
        <b/>
        <vertAlign val="superscript"/>
        <sz val="10"/>
        <rFont val="Arial"/>
        <family val="2"/>
        <charset val="186"/>
      </rPr>
      <t>2</t>
    </r>
  </si>
  <si>
    <t>Betona sagatavošanas kārtas ierīkošana grīdai (50mm)</t>
  </si>
  <si>
    <t>Hidroizolācijas ierīkošana grīdai</t>
  </si>
  <si>
    <t>Grīdas konstrukcijas stiegrošana</t>
  </si>
  <si>
    <r>
      <t>m</t>
    </r>
    <r>
      <rPr>
        <i/>
        <vertAlign val="superscript"/>
        <sz val="10"/>
        <rFont val="Arial"/>
        <family val="2"/>
        <charset val="186"/>
      </rPr>
      <t>2</t>
    </r>
  </si>
  <si>
    <t>Grīdas betonēšana (50mm)</t>
  </si>
  <si>
    <t>Pārseguma stiegrojuma apstrāde ar pretkorozijas aizsardzību</t>
  </si>
  <si>
    <t>Antiseptizētas kāpņu brusas 200x70mm</t>
  </si>
  <si>
    <t>Antiseptizētais kāplis 250x50mm</t>
  </si>
  <si>
    <t>Margas uzstādīšana trepēm</t>
  </si>
  <si>
    <t>Antiseptizētas margas trepēm 50x50mm</t>
  </si>
  <si>
    <t>Margas uzstādīšana pārseguma laukumiem</t>
  </si>
  <si>
    <t>Kondensata savakšanas sistēmas  izbūve</t>
  </si>
  <si>
    <r>
      <t>m</t>
    </r>
    <r>
      <rPr>
        <b/>
        <vertAlign val="superscript"/>
        <sz val="10"/>
        <rFont val="Arial"/>
        <family val="2"/>
        <charset val="204"/>
      </rPr>
      <t>2</t>
    </r>
  </si>
  <si>
    <t>Nesošo koka konstrukciju  uzstādīšana</t>
  </si>
  <si>
    <r>
      <t>m</t>
    </r>
    <r>
      <rPr>
        <b/>
        <vertAlign val="superscript"/>
        <sz val="10"/>
        <rFont val="Arial"/>
        <family val="2"/>
        <charset val="186"/>
      </rPr>
      <t>3</t>
    </r>
  </si>
  <si>
    <t>Latojuma ierīkošana jumta segumam</t>
  </si>
  <si>
    <t>Pretkondensāta plēves ierīkošana</t>
  </si>
  <si>
    <t>Retināta dēļu pašuvums</t>
  </si>
  <si>
    <t>Tvaika izolācijas ieklāšana</t>
  </si>
  <si>
    <t>Jumta pārkares apšūšana ar apdares dēļiem</t>
  </si>
  <si>
    <t>Logu bloku komplektā ar palodzēm un uzstādīšana ieskaitot iekšējo un ārējo ailu sānmalu apdari</t>
  </si>
  <si>
    <t>Durvju bloku montāža komplektā ar visiem montāžas palīgmateriāliem, ieskaitot durvju ailu sānmalu apdare</t>
  </si>
  <si>
    <t>Sadales korpus ar N un PE klemmi, S1virs apmetuma, metāla, KV-26-08-05  800X500X260</t>
  </si>
  <si>
    <t>gab</t>
  </si>
  <si>
    <t>Ievada slēdzis, 3/63A</t>
  </si>
  <si>
    <t>Grupu automāts B10</t>
  </si>
  <si>
    <t>3C16</t>
  </si>
  <si>
    <t>3C25</t>
  </si>
  <si>
    <t>3C40</t>
  </si>
  <si>
    <t>Diferenciālā strāvas aizsardzība, 1N/16/0,03</t>
  </si>
  <si>
    <t>Automātu savienojošā kopne, 1m. 400V 100A</t>
  </si>
  <si>
    <t>Kopnes galu nosegvāki</t>
  </si>
  <si>
    <t>El.rozete bloks virsapm., IP 44 , I nom = 16 A , U = 230/400 V</t>
  </si>
  <si>
    <t>Nozarkārbas, HP 70 IP54</t>
  </si>
  <si>
    <t>Gaismeklis plafons Lena ar spuldzi, pie griestiem, sienas., 100 W 230V IP65</t>
  </si>
  <si>
    <t>Kabeļ dzīslu savienotāji, TORIX6</t>
  </si>
  <si>
    <t xml:space="preserve"> Kabelis - NYY 5 * 2,5 mm2</t>
  </si>
  <si>
    <r>
      <t>NYY  3 * 2,5 mm</t>
    </r>
    <r>
      <rPr>
        <vertAlign val="superscript"/>
        <sz val="8"/>
        <rFont val="LT Arial"/>
        <charset val="186"/>
      </rPr>
      <t>2</t>
    </r>
  </si>
  <si>
    <r>
      <t>NYY  3 * 1,5 mm</t>
    </r>
    <r>
      <rPr>
        <vertAlign val="superscript"/>
        <sz val="8"/>
        <rFont val="LT Arial"/>
        <charset val="186"/>
      </rPr>
      <t>2</t>
    </r>
  </si>
  <si>
    <r>
      <t>NYY  5 * 16 mm</t>
    </r>
    <r>
      <rPr>
        <vertAlign val="superscript"/>
        <sz val="8"/>
        <rFont val="LT Arial"/>
        <charset val="186"/>
      </rPr>
      <t>2</t>
    </r>
  </si>
  <si>
    <r>
      <t>NYY  5 * 6 mm</t>
    </r>
    <r>
      <rPr>
        <vertAlign val="superscript"/>
        <sz val="8"/>
        <rFont val="LT Arial"/>
        <charset val="186"/>
      </rPr>
      <t>2</t>
    </r>
  </si>
  <si>
    <r>
      <t>NYY  5 * 1,5 mm</t>
    </r>
    <r>
      <rPr>
        <vertAlign val="superscript"/>
        <sz val="8"/>
        <rFont val="LT Arial"/>
        <charset val="186"/>
      </rPr>
      <t>2</t>
    </r>
  </si>
  <si>
    <t>Kabeļ aizsarg caurule, TXM-M20</t>
  </si>
  <si>
    <t>TXM-M32</t>
  </si>
  <si>
    <t>Kabeļ aizsarg caurule, PVC20  L=3m</t>
  </si>
  <si>
    <t xml:space="preserve">Kabeļ aizsarg caurules stiprinājumi, PVC20  </t>
  </si>
  <si>
    <t>Kabeļ aizsarg caurules 90grādu leņķi PVC20</t>
  </si>
  <si>
    <t>El.slēdzis pārsl virsapm. IP 44 , I nom = 10 A , U = 230 V</t>
  </si>
  <si>
    <t>Zemējuma stieņi, 219/20 OMEX 20x1500mm</t>
  </si>
  <si>
    <t>Zemējuma apaļdzelzis, RD10 FT</t>
  </si>
  <si>
    <t>Savienotāj klemme 2760/20 8-10/FL40 FT</t>
  </si>
  <si>
    <t>Uztvērēj stieples savienojumi 249/ST RD8-10</t>
  </si>
  <si>
    <t>Stieņa spice TE 20</t>
  </si>
  <si>
    <t>Savienotāj klemme 237/N RD8-10</t>
  </si>
  <si>
    <t>Pretkorozijas lenta</t>
  </si>
  <si>
    <t>Zibens uztvērēj stieple RD8/ALU</t>
  </si>
  <si>
    <t>Zibens uztvērējs 101/F-1500</t>
  </si>
  <si>
    <t>El. sildītājs ar vadību 3 kW 230V</t>
  </si>
  <si>
    <t>1. Demontāžas darbi</t>
  </si>
  <si>
    <t>1.001</t>
  </si>
  <si>
    <t>1.002</t>
  </si>
  <si>
    <t>1.003</t>
  </si>
  <si>
    <t>1.004</t>
  </si>
  <si>
    <t>1.005</t>
  </si>
  <si>
    <t>1.006</t>
  </si>
  <si>
    <t>1.007</t>
  </si>
  <si>
    <t>1.008</t>
  </si>
  <si>
    <t>1.009</t>
  </si>
  <si>
    <t>1.010</t>
  </si>
  <si>
    <t>1.011</t>
  </si>
  <si>
    <t>1.012</t>
  </si>
  <si>
    <t>Jumta nesošo koka konstrukciju demontāža</t>
  </si>
  <si>
    <t>Esošās  ūdens tvertnes ar apsaisti un stiprinājuma kronšteiniem  demontāža (tērauda tvertne tilpums līdz 30m3) nocelt no 20m virs zemes līmeņa</t>
  </si>
  <si>
    <t>Tērauda cauruļu ar veidgabaliem demontāža sagarinot ~3m posmos</t>
  </si>
  <si>
    <t>Lodveida, tukšošanas, atgaisošanas ventīļu/aizbīdņu demontāža</t>
  </si>
  <si>
    <t xml:space="preserve">Metāla siju (dubult-T profils 200, 21kg/m)  demontāža </t>
  </si>
  <si>
    <t>Koka kāpņu ar kāpšļiem 60cm platumā nojaukšana</t>
  </si>
  <si>
    <t>Koka pārseguma siju (līdz 200x300), garumā līdz 3m demontāža</t>
  </si>
  <si>
    <t>Koka dēļu klāju nojaukšana  nojaukšana</t>
  </si>
  <si>
    <t>Durvju bloku ar aplīstojumu  demontāža</t>
  </si>
  <si>
    <t>Koka logu bloka ar palodzēm demontāža</t>
  </si>
  <si>
    <t>Grīdas betona seguma līdz 100mm demontāža</t>
  </si>
  <si>
    <t>Būvgružu transportēšana līdz 5km</t>
  </si>
  <si>
    <t>Būvgružu utilizēšana vai nodošana izgāztuvē</t>
  </si>
  <si>
    <t>Ūdenstornis</t>
  </si>
  <si>
    <t>Ūdens atdzelžošanas ēka</t>
  </si>
  <si>
    <t>Ūdens torņa atslēgšana uz rekonstrukcijas laiku</t>
  </si>
  <si>
    <t>2. Sagatavošanas darbi</t>
  </si>
  <si>
    <t>Objekta mobilizācija</t>
  </si>
  <si>
    <t>obj.</t>
  </si>
  <si>
    <t>Pārēja uz flanci Dn25 uz OD110(flancis)</t>
  </si>
  <si>
    <t>Uzmava Dn25/OD32</t>
  </si>
  <si>
    <r>
      <t>m</t>
    </r>
    <r>
      <rPr>
        <b/>
        <vertAlign val="superscript"/>
        <sz val="9"/>
        <rFont val="Arial"/>
        <family val="2"/>
        <charset val="186"/>
      </rPr>
      <t>3</t>
    </r>
  </si>
  <si>
    <t>Pagaidu piebraucamā ceļa izbūve ūdenstornim (blietētas šķembas 250mm)</t>
  </si>
  <si>
    <t>šķembas fr.0-45</t>
  </si>
  <si>
    <t>1.013</t>
  </si>
  <si>
    <t>1.014</t>
  </si>
  <si>
    <t>1.015</t>
  </si>
  <si>
    <t>1.016</t>
  </si>
  <si>
    <t>1.017</t>
  </si>
  <si>
    <t>1.018</t>
  </si>
  <si>
    <t>1.019</t>
  </si>
  <si>
    <t>1.020</t>
  </si>
  <si>
    <t>1.021</t>
  </si>
  <si>
    <t>1.022</t>
  </si>
  <si>
    <t>1.023</t>
  </si>
  <si>
    <t>1.024</t>
  </si>
  <si>
    <t>1.025</t>
  </si>
  <si>
    <t>1.026</t>
  </si>
  <si>
    <t>1.027</t>
  </si>
  <si>
    <t>1.028</t>
  </si>
  <si>
    <t>1.029</t>
  </si>
  <si>
    <t>1.030</t>
  </si>
  <si>
    <t>3. ūdens rezervuāra montāža un apsaiste</t>
  </si>
  <si>
    <t>Dzeramā ūdens rezervuāra (līdz 2,5t) montāža 20m augstumā</t>
  </si>
  <si>
    <t>Pievadkabelis no vadības bloka uz līmeņa devēju</t>
  </si>
  <si>
    <t>Atloks ner. tērauda caurulēm  DN 100</t>
  </si>
  <si>
    <t>Atloks ner. tērauda caurulēm  DN 25</t>
  </si>
  <si>
    <t>kpl.</t>
  </si>
  <si>
    <r>
      <t xml:space="preserve">Palīgmateriāli cauruļu un veidgabalu montāžai (33m cauruļu </t>
    </r>
    <r>
      <rPr>
        <sz val="10"/>
        <rFont val="Calibri"/>
        <family val="2"/>
        <charset val="186"/>
      </rPr>
      <t>Ø</t>
    </r>
    <r>
      <rPr>
        <i/>
        <sz val="10"/>
        <rFont val="Arial"/>
        <family val="2"/>
        <charset val="186"/>
      </rPr>
      <t>114,3)</t>
    </r>
  </si>
  <si>
    <t>Ūdens rezervuāra izolācijas ierīkošana</t>
  </si>
  <si>
    <t>Kanalizācijas  cauruļu ar veidgabaliem uzstādīšana</t>
  </si>
  <si>
    <t>Isover KIM paklājs ar stiklašķiedras pārklājumu 50mm vai analogs (blīvums 25kg/m3; 0,037 W/m*K)</t>
  </si>
  <si>
    <t>Stiprinājuma lenta</t>
  </si>
  <si>
    <t>PP caurule OD 110</t>
  </si>
  <si>
    <t>Cauruļvadu Dn100 un PP OD110 savienojuma izveidošana</t>
  </si>
  <si>
    <t>PP caurules OD 110  stāvvada piestiprināšana</t>
  </si>
  <si>
    <t>4. Hidrofora uzstādīšana atdzelžošanas ēkā</t>
  </si>
  <si>
    <t>Montāžas palīgmateriāli un stiprinājumi rezervuāra uzstādīšanai un apsaistei</t>
  </si>
  <si>
    <r>
      <t xml:space="preserve">Akmens vates caurļvadu </t>
    </r>
    <r>
      <rPr>
        <sz val="10"/>
        <rFont val="Calibri"/>
        <family val="2"/>
        <charset val="186"/>
      </rPr>
      <t>Ø25</t>
    </r>
    <r>
      <rPr>
        <i/>
        <sz val="10"/>
        <rFont val="Arial"/>
        <family val="2"/>
        <charset val="186"/>
      </rPr>
      <t xml:space="preserve"> siltumtizolācija ar biezumu 30mm</t>
    </r>
  </si>
  <si>
    <r>
      <t xml:space="preserve">Akmens vates čaulas </t>
    </r>
    <r>
      <rPr>
        <sz val="10"/>
        <rFont val="Calibri"/>
        <family val="2"/>
        <charset val="186"/>
      </rPr>
      <t>Ø</t>
    </r>
    <r>
      <rPr>
        <i/>
        <sz val="10"/>
        <rFont val="Arial"/>
        <family val="2"/>
        <charset val="186"/>
      </rPr>
      <t>100 siltumtizolācija ar biezumu 30mm; blīvums 100 kg/m3, siltumpretestība 0,034 W/m*K</t>
    </r>
  </si>
  <si>
    <r>
      <t xml:space="preserve">Caurļvadu un veidgabalu izolācijas( </t>
    </r>
    <r>
      <rPr>
        <b/>
        <sz val="10"/>
        <rFont val="Calibri"/>
        <family val="2"/>
        <charset val="186"/>
      </rPr>
      <t>Ø</t>
    </r>
    <r>
      <rPr>
        <b/>
        <sz val="10"/>
        <rFont val="Arial"/>
        <family val="2"/>
        <charset val="186"/>
      </rPr>
      <t>līdz 200mm) ierīkošana</t>
    </r>
  </si>
  <si>
    <t>PP-R cauruļu ar diametru līdz 110 ar veidgabaliem uzstādīšana</t>
  </si>
  <si>
    <r>
      <t xml:space="preserve">Metināmu ventīļu  </t>
    </r>
    <r>
      <rPr>
        <b/>
        <sz val="10"/>
        <rFont val="Calibri"/>
        <family val="2"/>
        <charset val="186"/>
      </rPr>
      <t>Ø</t>
    </r>
    <r>
      <rPr>
        <b/>
        <sz val="10"/>
        <rFont val="Arial"/>
        <family val="2"/>
        <charset val="186"/>
      </rPr>
      <t xml:space="preserve">līdz 100 uzstādīšana </t>
    </r>
  </si>
  <si>
    <t>5. Frekvenču pārveidotāja uzstādīšana</t>
  </si>
  <si>
    <t>Frekvenču pārveidotājs  ar apsildāmu sadalni art.sūkņu (16kW, 40A, IP44) vadībai sk. paskaidrojuma rakstu 3.4 p.</t>
  </si>
  <si>
    <t>Frevenču pārveidotāja, vadības bloka uzstādīšana pievienojot spiediena/līmeņa devējus un elektroapgādes kabeli</t>
  </si>
  <si>
    <t>6. Vispārceltnieciskie darbi pagrabā</t>
  </si>
  <si>
    <t>Monolītā betona stabveida balsta izbūve , betons B20 apjoms &lt;0,5m3; uzstādot  un demontējot veidņus</t>
  </si>
  <si>
    <t>Šķembu pamatkārtasierīkošana grīdai (150mm)</t>
  </si>
  <si>
    <t>Šķembas fr. 0-45</t>
  </si>
  <si>
    <t>Sienu apmetums līdz 15mm biezumā  no cementa-kaļķa javas vai gatavā apmetuma mitrām telpām.</t>
  </si>
  <si>
    <t>Apmetuma masa mitrām telpām</t>
  </si>
  <si>
    <t xml:space="preserve">Knauf TS 100 vai analogs sausais maisījums </t>
  </si>
  <si>
    <t xml:space="preserve">Griestu apmetums 5mm biezumā  no kaļķa-cementa javas vai gatavā apmetuma maisījuma </t>
  </si>
  <si>
    <t>Cementa-kaļķa java vai apmetuma maisījums mitrām telpām</t>
  </si>
  <si>
    <t>Metāla kapņu attīrīšana no rūsas, gruntēšana un krāsošana</t>
  </si>
  <si>
    <t xml:space="preserve">  Pretkorozijas grunts/krāsa Hammerit vai analogs 0,75L</t>
  </si>
  <si>
    <t>7. Slietņu trepes</t>
  </si>
  <si>
    <t>Koka slietņu trepes  ierīkošana no gataviem elementiem (kāpņu maršs 700x3000)</t>
  </si>
  <si>
    <t>Koka konstrukcijas pstrāde ar antipirēniem</t>
  </si>
  <si>
    <t>Koksnes pretuguns aizsargsastāvs FAP vai analogs</t>
  </si>
  <si>
    <t>Būvkalumi, skrūves</t>
  </si>
  <si>
    <t>Margu konstrukcijas apstrāde ar antipirēniem</t>
  </si>
  <si>
    <t>8. Monolītā dzelzsbetona pārseguma izbūve uz augst. Atz. 16,90</t>
  </si>
  <si>
    <t>Monolīto dzelzbetona pārseguma plātņu izbūve uzstādot-demontējot veidņus, iestrādājot betonu to padodot ar sūkni, metāla stiegrojuma iestrāde</t>
  </si>
  <si>
    <t>Armatūra Ø12 A III (136m)</t>
  </si>
  <si>
    <t>Armatūra Ø14 A III (136m)</t>
  </si>
  <si>
    <t>Nerūsējošo tērauda īscauruļu ar atlokiem montāža dz. pārseguma platnē</t>
  </si>
  <si>
    <r>
      <t xml:space="preserve">Tērauda armatūras stiegru </t>
    </r>
    <r>
      <rPr>
        <b/>
        <sz val="10"/>
        <rFont val="Calibri"/>
        <family val="2"/>
        <charset val="186"/>
      </rPr>
      <t>Ø</t>
    </r>
    <r>
      <rPr>
        <b/>
        <sz val="10"/>
        <rFont val="Arial"/>
        <family val="2"/>
        <charset val="186"/>
      </rPr>
      <t>līdz16mm sagatavošana un montāža</t>
    </r>
  </si>
  <si>
    <t>Pašizlidzinošās betona grīdas maisījums, 5-30mm</t>
  </si>
  <si>
    <t>9. Koka uz metāla sijām kāpņu laukumu izbūve</t>
  </si>
  <si>
    <t>Metāla siju gruntēšana un krāsošana ar  krāsu metāla virsmām vienā kārtā</t>
  </si>
  <si>
    <t>Grunts krāsa metālam</t>
  </si>
  <si>
    <t xml:space="preserve">  Krāsa Vivacolor Universal vai analoga</t>
  </si>
  <si>
    <t>Metāla siju  līdz 20kg uzstādīšana, izveidojot nišas mūra sienā, pebetonējumi b=100mm, javas izlīdzinošā slāņa izveide un rievu aizpildīšana ar cementa javu  ap sijām</t>
  </si>
  <si>
    <t xml:space="preserve">  Betons B20</t>
  </si>
  <si>
    <t>Apzāģēti antiseptēti dēļi grīdai b=40mm</t>
  </si>
  <si>
    <t>Koka grīdas ierīkošana no apzāģētiem dēļiem</t>
  </si>
  <si>
    <t>Montāžas palīgmateriāli dēļu stiprināšanai (papildus latas, skrūves, bulskrūves u.c.)</t>
  </si>
  <si>
    <t>Koka dēļu klāja virsmu apstrāde ar antipirēniem</t>
  </si>
  <si>
    <t>10. Jumta izbūve</t>
  </si>
  <si>
    <t>Vēdināsānas caurules ierīkošana šķērsojot nesiltinātu savietotā jumta konstrukciju caurule &lt;200mm, garums līdz1,5m</t>
  </si>
  <si>
    <t>Cinkota tērauda gaisa vads Ø100 ar pretinsektu sietu, stiprinājuma aploci, uzjumteni kpējais garums &lt;1,5m</t>
  </si>
  <si>
    <t>Siltumizolācijas ieklāšana savietotā jumta konstrukcijā</t>
  </si>
  <si>
    <t>Antiseptizēti apzēģēti dēļi 25mm</t>
  </si>
  <si>
    <t>Bituma mastika Izoflex vai analogs</t>
  </si>
  <si>
    <r>
      <t>Ruļļveida kausējams jumta seguma virskārta elast.līdz -20</t>
    </r>
    <r>
      <rPr>
        <sz val="10"/>
        <rFont val="Calibri"/>
        <family val="2"/>
        <charset val="186"/>
      </rPr>
      <t>˚</t>
    </r>
    <r>
      <rPr>
        <i/>
        <sz val="10"/>
        <rFont val="Arial"/>
        <family val="2"/>
        <charset val="186"/>
      </rPr>
      <t>C</t>
    </r>
  </si>
  <si>
    <t>Cinkotais skārds 0,5-0,55mm</t>
  </si>
  <si>
    <t>Montāžas palīgmateriāli 15 m2 cinkota skārda jumta seguma izbūvei</t>
  </si>
  <si>
    <t xml:space="preserve">Jumta iesegšana no cinkotā skārda 0,55mm, vidēji sarežģits </t>
  </si>
  <si>
    <t>Jumta lūkas izbūve cinkota skārda jumta seguma konstrukcijā</t>
  </si>
  <si>
    <t>Palīgmateriāli pieslēgumu izveidošanai</t>
  </si>
  <si>
    <t>Montāžas palīgmateriāli 3m2 pašuvuma izbūvei</t>
  </si>
  <si>
    <t>11. Logu, durvju montāžas darbi</t>
  </si>
  <si>
    <t>Betona fasādes apmales izbūve 600mm, izņemt grunti, iebūvēt škembu pamatojumu 100mm, izveidot betona apmali vid. 100mm platums 600</t>
  </si>
  <si>
    <t>Betons B15, F50, W-netiek normēts</t>
  </si>
  <si>
    <t>Būvgružu novākšana, būvlaukuma sakārtošana būvniecības gaitā un pirms objekta nodošanas</t>
  </si>
  <si>
    <t>Zālāja sēklas</t>
  </si>
  <si>
    <t>Augu zemes iestrāde, h=0,15, izmantojot zemi no atbērtnes+ 10% pievesta (sabojātais labiekārtojums būvniecības gaitā)</t>
  </si>
  <si>
    <t>Augu zemes noņemšana h-15cm</t>
  </si>
  <si>
    <t>Augu zeme</t>
  </si>
  <si>
    <t>12. Labiekārtošanas darbi</t>
  </si>
  <si>
    <t>13. Iekšējā elektroapgāde</t>
  </si>
  <si>
    <t>Grupu sadalnes 800x500 V/A montāža ar N un PE klemmēm</t>
  </si>
  <si>
    <t>Slēdžu, automātu kopņu un kabeļu montāža sadalnē</t>
  </si>
  <si>
    <t>Slēdžu, rozešu, gaismas ķermeņu, nozarkārbu un iekārtu līdz 5kw iebūve un pieslēgšana ieskaitot kabeļu galu apdari</t>
  </si>
  <si>
    <t xml:space="preserve">Vara kabeļu līdz 5x6mm2 ieskaitot izbūve stiprinot pie sienas, iebūvējot konstrukcijās tos ievelkot aizsargčaulā </t>
  </si>
  <si>
    <t>Vara kabeļu no 5x10mm2 līdz 4x16mm2 ieskaitot izbūve stiprinot pie sienas, iebūvējot konstrukcijās tos ievelkot aizsargčaulā vai uz kabeļplauktiem</t>
  </si>
  <si>
    <r>
      <t xml:space="preserve">Lokano kabeļu aizsargcauruļu izbūve </t>
    </r>
    <r>
      <rPr>
        <b/>
        <sz val="10"/>
        <rFont val="Calibri"/>
        <family val="2"/>
        <charset val="186"/>
      </rPr>
      <t xml:space="preserve">Ø </t>
    </r>
    <r>
      <rPr>
        <b/>
        <sz val="10"/>
        <rFont val="Arial"/>
        <family val="2"/>
        <charset val="186"/>
      </rPr>
      <t>līdz 30mm, tos nostiprinot pie sienas vai pārseguma</t>
    </r>
  </si>
  <si>
    <t>PVC Ø līdz 30mm aizsargcauruļu ar veidgabaliem uzstādīšana, tās stiprinot pie konstrukcijām</t>
  </si>
  <si>
    <t>Tranšejas rakšana mehanizēti un ar rokām līdz 0,7m dziļu līdz 0,5m platu</t>
  </si>
  <si>
    <t>Tranšejas dziļums līdz 0,7m aizbēršana un  blietēšana ar kājblieti</t>
  </si>
  <si>
    <t>Zemējuma pazemes kontūra izbūve iedzenot elektrodus gruntī un savienojot ar tērauda 10mm stiepli, savienojumus notin ar pretkorozijas lentu</t>
  </si>
  <si>
    <t>Alumīnija zibensnovedēja stieples izbūve  pa ēkas fasādi stiprinot uz distanceriem</t>
  </si>
  <si>
    <t>Distanceri stieples stiprināšanai pa metāla jumtu 133/PVC 8-10 un fasādei</t>
  </si>
  <si>
    <t>Materiālu specifikāciju precizēt pirms montāžas darbu uzsākšanas.</t>
  </si>
  <si>
    <t>Dainis Lamberts</t>
  </si>
  <si>
    <t>LT-1/02/2012</t>
  </si>
  <si>
    <t>1.031</t>
  </si>
  <si>
    <t>1.032</t>
  </si>
  <si>
    <t>1.033</t>
  </si>
  <si>
    <t>1.034</t>
  </si>
  <si>
    <t>1.035</t>
  </si>
  <si>
    <t>1.036</t>
  </si>
  <si>
    <t>1.037</t>
  </si>
  <si>
    <t>1.038</t>
  </si>
  <si>
    <t>1.039</t>
  </si>
  <si>
    <t>1.040</t>
  </si>
  <si>
    <t>1.041</t>
  </si>
  <si>
    <t>1.042</t>
  </si>
  <si>
    <t>1.043</t>
  </si>
  <si>
    <t>1.044</t>
  </si>
  <si>
    <t>1.045</t>
  </si>
  <si>
    <t>1.046</t>
  </si>
  <si>
    <t>1.047</t>
  </si>
  <si>
    <t>1.048</t>
  </si>
  <si>
    <t>1.049</t>
  </si>
  <si>
    <t>1.050</t>
  </si>
  <si>
    <t>1.051</t>
  </si>
  <si>
    <t>1.052</t>
  </si>
  <si>
    <t>1.053</t>
  </si>
  <si>
    <t>1.054</t>
  </si>
  <si>
    <t>1.055</t>
  </si>
  <si>
    <t>1.056</t>
  </si>
  <si>
    <t>1.057</t>
  </si>
  <si>
    <t>1.058</t>
  </si>
  <si>
    <t>1.059</t>
  </si>
  <si>
    <t>1.060</t>
  </si>
  <si>
    <t>1.061</t>
  </si>
  <si>
    <t>1.062</t>
  </si>
  <si>
    <t>1.063</t>
  </si>
  <si>
    <t>1.064</t>
  </si>
  <si>
    <t>1.065</t>
  </si>
  <si>
    <t>1.066</t>
  </si>
  <si>
    <t>1.067</t>
  </si>
  <si>
    <t>1.068</t>
  </si>
  <si>
    <t>1.069</t>
  </si>
  <si>
    <t>1.070</t>
  </si>
  <si>
    <t>1.071</t>
  </si>
  <si>
    <t>1.072</t>
  </si>
  <si>
    <t>1.073</t>
  </si>
  <si>
    <t>1.074</t>
  </si>
  <si>
    <t>1.075</t>
  </si>
  <si>
    <t>1.076</t>
  </si>
  <si>
    <t>1.077</t>
  </si>
  <si>
    <t>1.078</t>
  </si>
  <si>
    <t>1.079</t>
  </si>
  <si>
    <t>1.080</t>
  </si>
  <si>
    <t>1.081</t>
  </si>
  <si>
    <t>1.082</t>
  </si>
  <si>
    <t>1.083</t>
  </si>
  <si>
    <t>1.084</t>
  </si>
  <si>
    <t>1.085</t>
  </si>
  <si>
    <t>1.086</t>
  </si>
  <si>
    <t>1.087</t>
  </si>
  <si>
    <t>1.088</t>
  </si>
  <si>
    <t>1.089</t>
  </si>
  <si>
    <t>1.090</t>
  </si>
  <si>
    <t>1.091</t>
  </si>
  <si>
    <t>1.092</t>
  </si>
  <si>
    <t>1.093</t>
  </si>
  <si>
    <t>1.094</t>
  </si>
  <si>
    <t>1.095</t>
  </si>
  <si>
    <t>1.096</t>
  </si>
  <si>
    <t>1.097</t>
  </si>
  <si>
    <t>1.098</t>
  </si>
  <si>
    <t>1.099</t>
  </si>
  <si>
    <t>1.100</t>
  </si>
  <si>
    <t>1.101</t>
  </si>
  <si>
    <t>1.102</t>
  </si>
  <si>
    <t>1.103</t>
  </si>
  <si>
    <t>1.104</t>
  </si>
  <si>
    <t>1.105</t>
  </si>
  <si>
    <t>1.106</t>
  </si>
  <si>
    <t>1.107</t>
  </si>
  <si>
    <t>1.108</t>
  </si>
  <si>
    <t>1.109</t>
  </si>
  <si>
    <t>1.110</t>
  </si>
  <si>
    <t>1.111</t>
  </si>
  <si>
    <t>1.112</t>
  </si>
  <si>
    <t>1.113</t>
  </si>
  <si>
    <t>1.114</t>
  </si>
  <si>
    <t>1.115</t>
  </si>
  <si>
    <t>1.116</t>
  </si>
  <si>
    <t>1.117</t>
  </si>
  <si>
    <t>1.118</t>
  </si>
  <si>
    <t>1.119</t>
  </si>
  <si>
    <t>1.120</t>
  </si>
  <si>
    <t>1.121</t>
  </si>
  <si>
    <t>1.122</t>
  </si>
  <si>
    <t>1.123</t>
  </si>
  <si>
    <t>1.124</t>
  </si>
  <si>
    <t>1.125</t>
  </si>
  <si>
    <t>1.126</t>
  </si>
  <si>
    <t>1.127</t>
  </si>
  <si>
    <t>1.128</t>
  </si>
  <si>
    <t>1.129</t>
  </si>
  <si>
    <t>1.130</t>
  </si>
  <si>
    <t>1.131</t>
  </si>
  <si>
    <t>1.132</t>
  </si>
  <si>
    <t>1.133</t>
  </si>
  <si>
    <t>1.134</t>
  </si>
  <si>
    <t>1.135</t>
  </si>
  <si>
    <t>1.136</t>
  </si>
  <si>
    <t>1.137</t>
  </si>
  <si>
    <t>1.138</t>
  </si>
  <si>
    <t>1.139</t>
  </si>
  <si>
    <t>1.140</t>
  </si>
  <si>
    <t>1.141</t>
  </si>
  <si>
    <t>1.142</t>
  </si>
  <si>
    <t>1.143</t>
  </si>
  <si>
    <t>1.144</t>
  </si>
  <si>
    <t>1.145</t>
  </si>
  <si>
    <t>1.146</t>
  </si>
  <si>
    <t>1.147</t>
  </si>
  <si>
    <t>1.148</t>
  </si>
  <si>
    <t>1.149</t>
  </si>
  <si>
    <t>1.150</t>
  </si>
  <si>
    <t>1.151</t>
  </si>
  <si>
    <t>1.152</t>
  </si>
  <si>
    <t>1.153</t>
  </si>
  <si>
    <t>1.154</t>
  </si>
  <si>
    <t>1.155</t>
  </si>
  <si>
    <t>1.156</t>
  </si>
  <si>
    <t>1.157</t>
  </si>
  <si>
    <t>1.158</t>
  </si>
  <si>
    <t>1.159</t>
  </si>
  <si>
    <t>1.160</t>
  </si>
  <si>
    <t>1.161</t>
  </si>
  <si>
    <t>1.162</t>
  </si>
  <si>
    <t>1.163</t>
  </si>
  <si>
    <t>1.164</t>
  </si>
  <si>
    <t>1.165</t>
  </si>
  <si>
    <t>1.166</t>
  </si>
  <si>
    <t>1.167</t>
  </si>
  <si>
    <t>1.168</t>
  </si>
  <si>
    <t>1.169</t>
  </si>
  <si>
    <t>1.170</t>
  </si>
  <si>
    <t>1.171</t>
  </si>
  <si>
    <t>1.172</t>
  </si>
  <si>
    <t>1.173</t>
  </si>
  <si>
    <t>1.174</t>
  </si>
  <si>
    <t>1.175</t>
  </si>
  <si>
    <t>1.176</t>
  </si>
  <si>
    <t>1.177</t>
  </si>
  <si>
    <t>1.178</t>
  </si>
  <si>
    <t>1.179</t>
  </si>
  <si>
    <t>1.180</t>
  </si>
  <si>
    <t>1.181</t>
  </si>
  <si>
    <t>1.182</t>
  </si>
  <si>
    <t>1.183</t>
  </si>
  <si>
    <t>1.184</t>
  </si>
  <si>
    <t>1.185</t>
  </si>
  <si>
    <t>1.186</t>
  </si>
  <si>
    <t>1.187</t>
  </si>
  <si>
    <t>1.188</t>
  </si>
  <si>
    <t>1.189</t>
  </si>
  <si>
    <t>1.190</t>
  </si>
  <si>
    <t>1.191</t>
  </si>
  <si>
    <t>1.192</t>
  </si>
  <si>
    <t>1.193</t>
  </si>
  <si>
    <t>1.194</t>
  </si>
  <si>
    <t>1.195</t>
  </si>
  <si>
    <t>1.196</t>
  </si>
  <si>
    <t>1.197</t>
  </si>
  <si>
    <t>1.198</t>
  </si>
  <si>
    <t>1.199</t>
  </si>
  <si>
    <t>1.200</t>
  </si>
  <si>
    <t>1.201</t>
  </si>
  <si>
    <t>1.202</t>
  </si>
  <si>
    <t>1.203</t>
  </si>
  <si>
    <t>1.204</t>
  </si>
  <si>
    <t>1.205</t>
  </si>
  <si>
    <t>1.206</t>
  </si>
  <si>
    <t>1.207</t>
  </si>
  <si>
    <t>1.208</t>
  </si>
  <si>
    <t>1.209</t>
  </si>
  <si>
    <t>1.210</t>
  </si>
  <si>
    <t>1.211</t>
  </si>
  <si>
    <t>1.212</t>
  </si>
  <si>
    <t>1.213</t>
  </si>
  <si>
    <t>1.214</t>
  </si>
  <si>
    <t>1.215</t>
  </si>
  <si>
    <t>1.216</t>
  </si>
  <si>
    <t>1.217</t>
  </si>
  <si>
    <t>1.218</t>
  </si>
  <si>
    <t>1.219</t>
  </si>
  <si>
    <t>1.220</t>
  </si>
  <si>
    <t>1.221</t>
  </si>
  <si>
    <t>1.222</t>
  </si>
  <si>
    <t>1.223</t>
  </si>
  <si>
    <t>1.224</t>
  </si>
  <si>
    <t>1.225</t>
  </si>
  <si>
    <t>1.226</t>
  </si>
  <si>
    <t>1.227</t>
  </si>
  <si>
    <t>1.228</t>
  </si>
  <si>
    <t>1.229</t>
  </si>
  <si>
    <t>1.230</t>
  </si>
  <si>
    <t>1.231</t>
  </si>
  <si>
    <t>1.232</t>
  </si>
  <si>
    <t>1.233</t>
  </si>
  <si>
    <t>1.234</t>
  </si>
  <si>
    <t>1.235</t>
  </si>
  <si>
    <t>1.236</t>
  </si>
  <si>
    <t>1.237</t>
  </si>
  <si>
    <t>1.238</t>
  </si>
  <si>
    <t>1.239</t>
  </si>
  <si>
    <t>1.240</t>
  </si>
  <si>
    <t>1.241</t>
  </si>
  <si>
    <t>1.242</t>
  </si>
  <si>
    <t>Mērvienība</t>
  </si>
  <si>
    <t>Daudzums</t>
  </si>
  <si>
    <t>Darba samaksas likme (EUR/h)</t>
  </si>
  <si>
    <t>Darba alga EUR/h</t>
  </si>
  <si>
    <t>Mehānismi EUR</t>
  </si>
  <si>
    <t>Darba alga EUR</t>
  </si>
  <si>
    <t>EUR</t>
  </si>
  <si>
    <t>Kopā         EUR</t>
  </si>
  <si>
    <t>(būvdarbu veids vai konstruktīvā elementa nosaukums)</t>
  </si>
  <si>
    <t>Būves nosaukums</t>
  </si>
  <si>
    <t>Būvdarbu nosaukums</t>
  </si>
  <si>
    <t>Būvizstrādājumi     EUR</t>
  </si>
  <si>
    <t>Būvizstrādājumi  EUR</t>
  </si>
  <si>
    <t>Summa      EUR</t>
  </si>
  <si>
    <t>Tiešās izmaksas kopā, t.sk. darba devēja sociālais nodoklis 24,09%</t>
  </si>
  <si>
    <t>(paraksts un tā atšifrējums, datums)</t>
  </si>
  <si>
    <t>Būvdarbu veids vai konstruktīvā elementa nosaukums</t>
  </si>
  <si>
    <r>
      <t>Tāmes izmaksas (</t>
    </r>
    <r>
      <rPr>
        <i/>
        <sz val="10"/>
        <rFont val="Arial"/>
        <family val="2"/>
        <charset val="186"/>
      </rPr>
      <t>euro)</t>
    </r>
  </si>
  <si>
    <t>Tai skaitā</t>
  </si>
  <si>
    <r>
      <t>Darba alga (</t>
    </r>
    <r>
      <rPr>
        <i/>
        <sz val="10"/>
        <rFont val="Arial"/>
        <family val="2"/>
        <charset val="186"/>
      </rPr>
      <t>euro</t>
    </r>
    <r>
      <rPr>
        <sz val="10"/>
        <rFont val="Arial"/>
        <family val="2"/>
      </rPr>
      <t>)</t>
    </r>
  </si>
  <si>
    <r>
      <t>Būvizstrādājumi  (</t>
    </r>
    <r>
      <rPr>
        <i/>
        <sz val="10"/>
        <rFont val="Arial"/>
        <family val="2"/>
        <charset val="186"/>
      </rPr>
      <t>euro</t>
    </r>
    <r>
      <rPr>
        <sz val="10"/>
        <rFont val="Arial"/>
        <family val="2"/>
      </rPr>
      <t xml:space="preserve">) </t>
    </r>
  </si>
  <si>
    <r>
      <t>Mehānismi (</t>
    </r>
    <r>
      <rPr>
        <i/>
        <sz val="10"/>
        <rFont val="Arial"/>
        <family val="2"/>
        <charset val="186"/>
      </rPr>
      <t>euro</t>
    </r>
    <r>
      <rPr>
        <sz val="10"/>
        <rFont val="Arial"/>
        <family val="2"/>
      </rPr>
      <t>)</t>
    </r>
  </si>
  <si>
    <t>t.sk. darba aizsardzībai</t>
  </si>
  <si>
    <t>PAVISAM KOPĀ</t>
  </si>
  <si>
    <t>Pārbaudīja</t>
  </si>
  <si>
    <t>Kopsavilkuma aprēķins</t>
  </si>
  <si>
    <t>Virsizdevumi _____%</t>
  </si>
  <si>
    <t>Peļņa ________%</t>
  </si>
  <si>
    <t xml:space="preserve">                                                                               Tiešās izmaksas kopā, t.sk. darba devēja sociālais nodoklis 24,09%</t>
  </si>
  <si>
    <t>Lokālā tāme Nr.1</t>
  </si>
  <si>
    <t>Lokālā tāme Nr.2</t>
  </si>
  <si>
    <t>Tāmes Nr.</t>
  </si>
  <si>
    <t>0,00</t>
  </si>
  <si>
    <t xml:space="preserve">Pārbaudīja </t>
  </si>
  <si>
    <t>*-</t>
  </si>
  <si>
    <t>Tāme sastādīta 2019. gada tirgus cenās, pamatojoties uz tehnisko specifikāciju</t>
  </si>
  <si>
    <t>2019. gada ___________________</t>
  </si>
  <si>
    <t>Tāme sastādīta 2019.gada ....................</t>
  </si>
  <si>
    <t xml:space="preserve">ŪDENSAPGĀDE </t>
  </si>
  <si>
    <t xml:space="preserve">Ūdensapgāde </t>
  </si>
  <si>
    <t>Tāme sastādīta 2019.gada ____________________</t>
  </si>
  <si>
    <t>Objektu adreses</t>
  </si>
  <si>
    <t xml:space="preserve">Tāme sastādīta 2019.gada </t>
  </si>
  <si>
    <t>Ūdensvada sacilpošana nepārtrauktai dzeramā ūdens pakalpojuma nodrošināšanai Allažu pamatskolai</t>
  </si>
  <si>
    <t xml:space="preserve">Ūdensvada sacilpošana nepārtrauktai dzeramā ūdens pakalpojuma nodrošināšanai Allažu pamatskolai, Birzes iela </t>
  </si>
  <si>
    <t>Birzes iela, Allažu ciems, Allažu pagasts, Siguldas novads</t>
  </si>
  <si>
    <t xml:space="preserve">Ūdensvada sacilpošana nepārtrauktai dzeramā ūdens pakalpojuma nodrošināšanai Allažu pamatskolai, Ošu iela </t>
  </si>
  <si>
    <t>Ošu  iela, Allažu ciems, Allažu pagasts, Siguldas novads</t>
  </si>
  <si>
    <t xml:space="preserve">Ūdensvada sacilpošana nepārtrauktai dzeramā ūdens pakalpojuma nodrošināšanai Allažu pamatskolai, Lakstīgalas  iela </t>
  </si>
  <si>
    <t>Lakstīgalas iela, Allažu ciems, Allažu pagasts, Siguldas novads</t>
  </si>
  <si>
    <t>Lokālā tāme Nr.3</t>
  </si>
  <si>
    <t>Ūdensapgādre un kanalizācija, ārējie tīkli (ŪKT), Birzes iela</t>
  </si>
  <si>
    <t>Ūdensapgādre un kanalizācija, ārējie tīkli (ŪKT), Ošu iela</t>
  </si>
  <si>
    <t>Allažu ciems, Allažu pagasts, Siguldas novads</t>
  </si>
  <si>
    <t xml:space="preserve">Ūdensvada sacilpošana nepārtrauktai dzeramā ūdens pakalpojuma nodrošināšanai Allažu pamatskolai </t>
  </si>
  <si>
    <t xml:space="preserve">4. pielikums 
Tirgus izpētes nolikumam
Id. Nr. SA 2019 13
</t>
  </si>
  <si>
    <t xml:space="preserve">Finanšu piedāvājums </t>
  </si>
  <si>
    <t>2019. gada _____________________</t>
  </si>
  <si>
    <t>Ūdensapgādre un kanalizācija, ārējie tīkli (ŪKT), Lakstīgalas iela</t>
  </si>
  <si>
    <r>
      <t xml:space="preserve">Caurules OD110 PE 100 PN10 beztranšeju iebūve (bez tehnoloģiskajiem atrakumiem*). </t>
    </r>
    <r>
      <rPr>
        <i/>
        <sz val="10"/>
        <rFont val="Arial"/>
        <family val="2"/>
        <charset val="186"/>
      </rPr>
      <t xml:space="preserve">Iebūves dziļums saskaņā ar tehniskās specifikācijas 1. pielikumu </t>
    </r>
  </si>
  <si>
    <t xml:space="preserve">Caurules OD110 PE 100 PN10 beztranšeju iebūve (bez tehnoloģiskajiem atrakumiem*). Iebūves dziļums saskaņā ar tehniskās specifikācijas 1. pielikumu </t>
  </si>
  <si>
    <t xml:space="preserve">Caurules OD250 (apvalkcaurule) PE 100 PN10 beztranšeju iebūve (bez tehnoloģiskajiem atrakumiem*). Iebūves dziļums saskaņā ar tehniskās specifikācijas 1. pielikumu </t>
  </si>
  <si>
    <t>Caurules OD110 PE 100  PN10 ievilkšana apvalkcaurulē OD250</t>
  </si>
  <si>
    <t xml:space="preserve">Caurules OD63  PE 100  PN10 beztranšeju iebūve (bez tehnoloģiskajiem atrakumiem*). Iebūves dziļums saskaņā ar tehniskās specifikācijas 1. pielikumu </t>
  </si>
  <si>
    <t>Tehnoloģiskos atrakumus  veic Pasūtītājs</t>
  </si>
  <si>
    <r>
      <t xml:space="preserve">Caurules OD 63 PE 100 PN10 beztranšeju iebūve (bez tehnoloģiskajiem atrakumiem*). </t>
    </r>
    <r>
      <rPr>
        <i/>
        <sz val="10"/>
        <rFont val="Arial"/>
        <family val="2"/>
        <charset val="186"/>
      </rPr>
      <t xml:space="preserve">Iebūves dziļums saskaņā ar tehniskās specifikācijas 1. pielikumu </t>
    </r>
  </si>
  <si>
    <t>Tehnoloģiskos atrakumus veic Pasūtītājs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</si>
</sst>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.00_-;\-* #,##0.00_-;_-* &quot;-&quot;??_-;_-@_-"/>
    <numFmt numFmtId="166" formatCode="0.000"/>
    <numFmt numFmtId="167" formatCode="_-* #,##0_-;\-* #,##0_-;_-* &quot;-&quot;??_-;_-@_-"/>
  </numFmts>
  <fonts count="39">
    <font>
      <sz val="10"/>
      <name val="Arial"/>
      <charset val="186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2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i/>
      <sz val="10"/>
      <name val="Arial"/>
      <family val="2"/>
      <charset val="186"/>
    </font>
    <font>
      <b/>
      <sz val="11"/>
      <name val="Arial"/>
      <family val="2"/>
      <charset val="186"/>
    </font>
    <font>
      <vertAlign val="superscript"/>
      <sz val="10"/>
      <name val="Arial"/>
      <family val="2"/>
      <charset val="186"/>
    </font>
    <font>
      <b/>
      <u/>
      <sz val="14"/>
      <name val="Times New Roman"/>
      <family val="1"/>
      <charset val="186"/>
    </font>
    <font>
      <i/>
      <sz val="10"/>
      <name val="Arial"/>
      <family val="2"/>
      <charset val="204"/>
    </font>
    <font>
      <sz val="10"/>
      <name val="Helv"/>
    </font>
    <font>
      <i/>
      <vertAlign val="superscript"/>
      <sz val="10"/>
      <name val="Arial"/>
      <family val="2"/>
      <charset val="186"/>
    </font>
    <font>
      <vertAlign val="superscript"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  <charset val="186"/>
    </font>
    <font>
      <i/>
      <sz val="10"/>
      <color indexed="8"/>
      <name val="Arial"/>
      <family val="2"/>
      <charset val="186"/>
    </font>
    <font>
      <b/>
      <sz val="10"/>
      <name val="Arial"/>
      <family val="2"/>
      <charset val="204"/>
    </font>
    <font>
      <b/>
      <vertAlign val="superscript"/>
      <sz val="10"/>
      <name val="Arial"/>
      <family val="2"/>
      <charset val="186"/>
    </font>
    <font>
      <b/>
      <vertAlign val="superscript"/>
      <sz val="10"/>
      <name val="Arial"/>
      <family val="2"/>
      <charset val="204"/>
    </font>
    <font>
      <vertAlign val="superscript"/>
      <sz val="8"/>
      <name val="LT Arial"/>
      <charset val="186"/>
    </font>
    <font>
      <sz val="10"/>
      <name val="Calibri"/>
      <family val="2"/>
      <charset val="186"/>
    </font>
    <font>
      <b/>
      <i/>
      <sz val="10"/>
      <name val="Arial"/>
      <family val="2"/>
      <charset val="186"/>
    </font>
    <font>
      <b/>
      <sz val="8"/>
      <name val="Arial"/>
      <family val="2"/>
      <charset val="186"/>
    </font>
    <font>
      <b/>
      <vertAlign val="superscript"/>
      <sz val="9"/>
      <name val="Arial"/>
      <family val="2"/>
      <charset val="186"/>
    </font>
    <font>
      <sz val="10"/>
      <color indexed="81"/>
      <name val="Tahoma"/>
      <family val="2"/>
      <charset val="186"/>
    </font>
    <font>
      <b/>
      <sz val="10"/>
      <color indexed="81"/>
      <name val="Tahoma"/>
      <family val="2"/>
      <charset val="186"/>
    </font>
    <font>
      <i/>
      <sz val="8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0"/>
      <name val="Calibri"/>
      <family val="2"/>
      <charset val="186"/>
    </font>
    <font>
      <sz val="10"/>
      <name val="Arial"/>
      <family val="2"/>
      <charset val="186"/>
    </font>
    <font>
      <sz val="11"/>
      <color indexed="8"/>
      <name val="Arial"/>
      <family val="2"/>
      <charset val="186"/>
    </font>
    <font>
      <sz val="9"/>
      <name val="Arial"/>
      <family val="2"/>
      <charset val="186"/>
    </font>
    <font>
      <sz val="11"/>
      <name val="Arial"/>
      <family val="2"/>
    </font>
    <font>
      <b/>
      <sz val="10"/>
      <name val="Arial"/>
      <family val="2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4" fillId="0" borderId="0"/>
    <xf numFmtId="0" fontId="13" fillId="0" borderId="0"/>
    <xf numFmtId="165" fontId="3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330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vertical="center"/>
    </xf>
    <xf numFmtId="14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1" xfId="1" applyFont="1" applyBorder="1" applyAlignment="1">
      <alignment horizontal="center"/>
    </xf>
    <xf numFmtId="0" fontId="6" fillId="0" borderId="1" xfId="0" applyFont="1" applyFill="1" applyBorder="1" applyAlignment="1">
      <alignment vertical="center" wrapText="1"/>
    </xf>
    <xf numFmtId="0" fontId="8" fillId="0" borderId="1" xfId="1" applyFont="1" applyBorder="1" applyAlignment="1">
      <alignment horizontal="right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Border="1"/>
    <xf numFmtId="0" fontId="6" fillId="0" borderId="0" xfId="0" applyFont="1"/>
    <xf numFmtId="0" fontId="8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wrapText="1"/>
    </xf>
    <xf numFmtId="0" fontId="6" fillId="0" borderId="2" xfId="1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/>
    <xf numFmtId="0" fontId="2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  <xf numFmtId="0" fontId="4" fillId="0" borderId="14" xfId="0" applyFont="1" applyFill="1" applyBorder="1" applyAlignment="1">
      <alignment horizontal="center" vertical="center" textRotation="90" wrapText="1"/>
    </xf>
    <xf numFmtId="2" fontId="4" fillId="0" borderId="14" xfId="0" applyNumberFormat="1" applyFont="1" applyFill="1" applyBorder="1" applyAlignment="1">
      <alignment horizontal="center" vertical="center" textRotation="90" wrapText="1"/>
    </xf>
    <xf numFmtId="0" fontId="4" fillId="0" borderId="15" xfId="0" applyFont="1" applyFill="1" applyBorder="1" applyAlignment="1">
      <alignment horizontal="center" vertical="center" textRotation="90" wrapText="1"/>
    </xf>
    <xf numFmtId="165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Border="1"/>
    <xf numFmtId="0" fontId="8" fillId="0" borderId="1" xfId="0" applyFont="1" applyFill="1" applyBorder="1" applyAlignment="1">
      <alignment horizontal="right" vertical="center" wrapText="1"/>
    </xf>
    <xf numFmtId="165" fontId="0" fillId="0" borderId="1" xfId="0" applyNumberFormat="1" applyBorder="1" applyAlignment="1">
      <alignment vertical="center"/>
    </xf>
    <xf numFmtId="0" fontId="6" fillId="0" borderId="1" xfId="0" applyFont="1" applyFill="1" applyBorder="1" applyAlignment="1">
      <alignment horizontal="center" wrapText="1"/>
    </xf>
    <xf numFmtId="9" fontId="0" fillId="0" borderId="0" xfId="0" applyNumberFormat="1"/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9" xfId="0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2" fontId="16" fillId="0" borderId="1" xfId="0" applyNumberFormat="1" applyFont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/>
    </xf>
    <xf numFmtId="0" fontId="17" fillId="0" borderId="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center" wrapText="1"/>
    </xf>
    <xf numFmtId="49" fontId="6" fillId="0" borderId="9" xfId="1" applyNumberFormat="1" applyFont="1" applyBorder="1" applyAlignment="1">
      <alignment horizontal="center"/>
    </xf>
    <xf numFmtId="0" fontId="17" fillId="0" borderId="9" xfId="0" applyFont="1" applyFill="1" applyBorder="1" applyAlignment="1">
      <alignment vertical="center" wrapText="1"/>
    </xf>
    <xf numFmtId="49" fontId="6" fillId="0" borderId="2" xfId="2" applyNumberFormat="1" applyFont="1" applyBorder="1" applyAlignment="1">
      <alignment horizontal="center"/>
    </xf>
    <xf numFmtId="0" fontId="18" fillId="0" borderId="1" xfId="0" applyFont="1" applyBorder="1" applyAlignment="1">
      <alignment horizontal="right" vertical="top" wrapText="1"/>
    </xf>
    <xf numFmtId="0" fontId="8" fillId="0" borderId="1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18" fillId="0" borderId="1" xfId="0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19" fillId="0" borderId="11" xfId="0" applyFont="1" applyBorder="1" applyAlignment="1">
      <alignment horizontal="left" wrapText="1"/>
    </xf>
    <xf numFmtId="0" fontId="6" fillId="0" borderId="1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wrapText="1"/>
    </xf>
    <xf numFmtId="0" fontId="12" fillId="0" borderId="1" xfId="2" applyFont="1" applyFill="1" applyBorder="1" applyAlignment="1">
      <alignment horizontal="center" wrapText="1" shrinkToFit="1"/>
    </xf>
    <xf numFmtId="0" fontId="6" fillId="0" borderId="2" xfId="0" applyFont="1" applyFill="1" applyBorder="1" applyAlignment="1">
      <alignment horizontal="left" vertical="center" wrapText="1"/>
    </xf>
    <xf numFmtId="0" fontId="6" fillId="0" borderId="9" xfId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right" vertical="center"/>
    </xf>
    <xf numFmtId="2" fontId="8" fillId="0" borderId="1" xfId="0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horizontal="right" wrapText="1"/>
    </xf>
    <xf numFmtId="0" fontId="8" fillId="0" borderId="11" xfId="1" applyFont="1" applyBorder="1" applyAlignment="1">
      <alignment horizontal="right" wrapText="1"/>
    </xf>
    <xf numFmtId="0" fontId="8" fillId="0" borderId="11" xfId="0" applyFont="1" applyFill="1" applyBorder="1" applyAlignment="1">
      <alignment horizontal="center"/>
    </xf>
    <xf numFmtId="0" fontId="12" fillId="0" borderId="11" xfId="2" applyFont="1" applyFill="1" applyBorder="1" applyAlignment="1">
      <alignment horizontal="center" wrapText="1" shrinkToFit="1"/>
    </xf>
    <xf numFmtId="166" fontId="12" fillId="0" borderId="1" xfId="2" applyNumberFormat="1" applyFont="1" applyFill="1" applyBorder="1" applyAlignment="1">
      <alignment horizontal="center" wrapText="1" shrinkToFit="1"/>
    </xf>
    <xf numFmtId="2" fontId="12" fillId="0" borderId="1" xfId="2" applyNumberFormat="1" applyFont="1" applyFill="1" applyBorder="1" applyAlignment="1">
      <alignment horizontal="center" wrapText="1" shrinkToFit="1"/>
    </xf>
    <xf numFmtId="0" fontId="6" fillId="0" borderId="2" xfId="0" applyFont="1" applyBorder="1" applyAlignment="1">
      <alignment wrapText="1"/>
    </xf>
    <xf numFmtId="0" fontId="12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2" fillId="0" borderId="1" xfId="0" applyNumberFormat="1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8" fillId="0" borderId="9" xfId="1" applyFont="1" applyBorder="1" applyAlignment="1">
      <alignment horizontal="right" wrapText="1"/>
    </xf>
    <xf numFmtId="0" fontId="8" fillId="0" borderId="9" xfId="1" applyFont="1" applyBorder="1" applyAlignment="1">
      <alignment horizontal="center"/>
    </xf>
    <xf numFmtId="0" fontId="12" fillId="0" borderId="11" xfId="1" applyFont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19" fillId="0" borderId="1" xfId="1" applyFont="1" applyFill="1" applyBorder="1" applyAlignment="1">
      <alignment horizontal="center"/>
    </xf>
    <xf numFmtId="0" fontId="8" fillId="0" borderId="11" xfId="0" applyFont="1" applyFill="1" applyBorder="1" applyAlignment="1">
      <alignment horizontal="right" vertical="center" wrapText="1"/>
    </xf>
    <xf numFmtId="0" fontId="12" fillId="0" borderId="11" xfId="0" applyFont="1" applyBorder="1" applyAlignment="1">
      <alignment horizontal="center"/>
    </xf>
    <xf numFmtId="49" fontId="19" fillId="0" borderId="2" xfId="0" applyNumberFormat="1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1" fontId="12" fillId="0" borderId="1" xfId="0" applyNumberFormat="1" applyFont="1" applyBorder="1" applyAlignment="1">
      <alignment horizontal="center"/>
    </xf>
    <xf numFmtId="0" fontId="8" fillId="0" borderId="1" xfId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 wrapText="1"/>
    </xf>
    <xf numFmtId="2" fontId="6" fillId="0" borderId="2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0" fontId="2" fillId="0" borderId="0" xfId="0" applyFont="1" applyFill="1" applyAlignment="1"/>
    <xf numFmtId="2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14" fontId="2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textRotation="90" wrapText="1"/>
    </xf>
    <xf numFmtId="2" fontId="2" fillId="0" borderId="14" xfId="0" applyNumberFormat="1" applyFont="1" applyFill="1" applyBorder="1" applyAlignment="1">
      <alignment horizontal="center" vertical="center" textRotation="90" wrapText="1"/>
    </xf>
    <xf numFmtId="0" fontId="2" fillId="0" borderId="15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2" xfId="0" applyFont="1" applyBorder="1"/>
    <xf numFmtId="165" fontId="6" fillId="0" borderId="2" xfId="0" applyNumberFormat="1" applyFont="1" applyBorder="1"/>
    <xf numFmtId="0" fontId="2" fillId="0" borderId="1" xfId="0" applyFont="1" applyBorder="1" applyAlignment="1">
      <alignment wrapText="1"/>
    </xf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Border="1"/>
    <xf numFmtId="0" fontId="2" fillId="0" borderId="0" xfId="0" applyFont="1"/>
    <xf numFmtId="165" fontId="6" fillId="0" borderId="2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4" fillId="0" borderId="1" xfId="2" applyFont="1" applyBorder="1" applyAlignment="1"/>
    <xf numFmtId="0" fontId="6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165" fontId="8" fillId="0" borderId="2" xfId="0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top" wrapText="1"/>
    </xf>
    <xf numFmtId="0" fontId="30" fillId="0" borderId="1" xfId="0" applyFont="1" applyFill="1" applyBorder="1" applyAlignment="1">
      <alignment vertical="center"/>
    </xf>
    <xf numFmtId="0" fontId="24" fillId="0" borderId="1" xfId="1" applyFont="1" applyFill="1" applyBorder="1" applyAlignment="1">
      <alignment horizontal="center" wrapText="1"/>
    </xf>
    <xf numFmtId="0" fontId="24" fillId="0" borderId="1" xfId="0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 wrapText="1" shrinkToFi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right" vertical="center" wrapText="1"/>
    </xf>
    <xf numFmtId="0" fontId="12" fillId="0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167" fontId="6" fillId="0" borderId="2" xfId="0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left" wrapText="1"/>
    </xf>
    <xf numFmtId="2" fontId="2" fillId="0" borderId="1" xfId="0" applyNumberFormat="1" applyFont="1" applyFill="1" applyBorder="1" applyAlignment="1">
      <alignment horizontal="center"/>
    </xf>
    <xf numFmtId="0" fontId="2" fillId="0" borderId="1" xfId="1" applyFont="1" applyBorder="1" applyAlignment="1">
      <alignment horizontal="right" wrapText="1"/>
    </xf>
    <xf numFmtId="167" fontId="6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6" fillId="0" borderId="2" xfId="0" applyFont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 wrapText="1"/>
    </xf>
    <xf numFmtId="0" fontId="8" fillId="0" borderId="10" xfId="1" applyFont="1" applyBorder="1" applyAlignment="1">
      <alignment horizontal="right" wrapText="1"/>
    </xf>
    <xf numFmtId="0" fontId="8" fillId="0" borderId="10" xfId="0" applyFont="1" applyBorder="1" applyAlignment="1">
      <alignment horizontal="center" vertical="center"/>
    </xf>
    <xf numFmtId="165" fontId="8" fillId="0" borderId="10" xfId="0" applyNumberFormat="1" applyFont="1" applyBorder="1" applyAlignment="1">
      <alignment horizontal="center" vertical="center"/>
    </xf>
    <xf numFmtId="165" fontId="8" fillId="0" borderId="10" xfId="0" applyNumberFormat="1" applyFont="1" applyFill="1" applyBorder="1" applyAlignment="1">
      <alignment horizontal="center" vertical="center"/>
    </xf>
    <xf numFmtId="165" fontId="8" fillId="0" borderId="10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64" fontId="2" fillId="0" borderId="1" xfId="3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165" fontId="0" fillId="0" borderId="0" xfId="0" applyNumberFormat="1"/>
    <xf numFmtId="49" fontId="6" fillId="0" borderId="2" xfId="1" applyNumberFormat="1" applyFont="1" applyFill="1" applyBorder="1" applyAlignment="1">
      <alignment horizontal="center"/>
    </xf>
    <xf numFmtId="0" fontId="24" fillId="0" borderId="1" xfId="2" applyFont="1" applyFill="1" applyBorder="1" applyAlignment="1"/>
    <xf numFmtId="165" fontId="8" fillId="0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4" fontId="34" fillId="0" borderId="1" xfId="0" applyNumberFormat="1" applyFont="1" applyFill="1" applyBorder="1" applyAlignment="1">
      <alignment horizontal="center" vertical="center" wrapText="1"/>
    </xf>
    <xf numFmtId="4" fontId="34" fillId="4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center" vertical="center"/>
    </xf>
    <xf numFmtId="165" fontId="34" fillId="0" borderId="1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 textRotation="90" wrapText="1"/>
    </xf>
    <xf numFmtId="0" fontId="2" fillId="0" borderId="11" xfId="0" applyFont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9" fontId="2" fillId="0" borderId="0" xfId="0" applyNumberFormat="1" applyFont="1" applyFill="1"/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35" fillId="0" borderId="0" xfId="0" applyFont="1" applyAlignment="1">
      <alignment horizontal="left" vertical="top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vertical="top"/>
    </xf>
    <xf numFmtId="2" fontId="16" fillId="0" borderId="0" xfId="0" applyNumberFormat="1" applyFont="1" applyAlignment="1">
      <alignment vertical="top"/>
    </xf>
    <xf numFmtId="0" fontId="16" fillId="0" borderId="0" xfId="0" applyFont="1"/>
    <xf numFmtId="2" fontId="16" fillId="0" borderId="0" xfId="0" applyNumberFormat="1" applyFont="1" applyFill="1" applyAlignment="1">
      <alignment vertical="top" wrapText="1"/>
    </xf>
    <xf numFmtId="0" fontId="16" fillId="0" borderId="0" xfId="0" applyFont="1" applyBorder="1" applyAlignment="1">
      <alignment vertical="center"/>
    </xf>
    <xf numFmtId="2" fontId="16" fillId="0" borderId="1" xfId="0" applyNumberFormat="1" applyFont="1" applyBorder="1" applyAlignment="1">
      <alignment horizontal="center" vertical="center" wrapText="1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4" fontId="16" fillId="0" borderId="0" xfId="0" applyNumberFormat="1" applyFont="1"/>
    <xf numFmtId="0" fontId="6" fillId="0" borderId="0" xfId="0" applyFont="1" applyAlignment="1">
      <alignment horizontal="center" vertical="top"/>
    </xf>
    <xf numFmtId="0" fontId="6" fillId="0" borderId="28" xfId="0" applyFont="1" applyBorder="1" applyAlignment="1">
      <alignment horizontal="right" vertical="top" wrapText="1"/>
    </xf>
    <xf numFmtId="4" fontId="6" fillId="0" borderId="1" xfId="0" applyNumberFormat="1" applyFont="1" applyBorder="1" applyAlignment="1">
      <alignment horizontal="right" vertical="top" wrapText="1"/>
    </xf>
    <xf numFmtId="4" fontId="6" fillId="0" borderId="1" xfId="0" applyNumberFormat="1" applyFont="1" applyBorder="1" applyAlignment="1">
      <alignment horizontal="right" vertical="top"/>
    </xf>
    <xf numFmtId="4" fontId="6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36" fillId="0" borderId="26" xfId="0" applyFont="1" applyBorder="1" applyAlignment="1">
      <alignment horizontal="right" vertical="top" wrapText="1"/>
    </xf>
    <xf numFmtId="4" fontId="16" fillId="0" borderId="1" xfId="0" applyNumberFormat="1" applyFont="1" applyBorder="1" applyAlignment="1">
      <alignment vertical="top" wrapText="1"/>
    </xf>
    <xf numFmtId="4" fontId="16" fillId="0" borderId="0" xfId="0" applyNumberFormat="1" applyFont="1" applyAlignment="1">
      <alignment horizontal="center" vertical="top"/>
    </xf>
    <xf numFmtId="4" fontId="16" fillId="0" borderId="0" xfId="0" applyNumberFormat="1" applyFont="1" applyAlignment="1">
      <alignment vertical="top"/>
    </xf>
    <xf numFmtId="0" fontId="8" fillId="0" borderId="26" xfId="0" applyFont="1" applyBorder="1" applyAlignment="1">
      <alignment horizontal="right" vertical="top" wrapText="1"/>
    </xf>
    <xf numFmtId="0" fontId="36" fillId="0" borderId="29" xfId="0" applyFont="1" applyBorder="1" applyAlignment="1">
      <alignment horizontal="right" vertical="top" wrapText="1"/>
    </xf>
    <xf numFmtId="4" fontId="6" fillId="0" borderId="1" xfId="0" applyNumberFormat="1" applyFont="1" applyBorder="1" applyAlignment="1">
      <alignment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left" vertical="top"/>
    </xf>
    <xf numFmtId="0" fontId="11" fillId="0" borderId="0" xfId="0" applyFont="1" applyAlignment="1">
      <alignment vertical="center"/>
    </xf>
    <xf numFmtId="0" fontId="16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top" wrapText="1"/>
    </xf>
    <xf numFmtId="4" fontId="16" fillId="0" borderId="1" xfId="0" applyNumberFormat="1" applyFont="1" applyBorder="1" applyAlignment="1">
      <alignment horizontal="right" vertical="top"/>
    </xf>
    <xf numFmtId="4" fontId="16" fillId="0" borderId="1" xfId="0" applyNumberFormat="1" applyFont="1" applyBorder="1" applyAlignment="1">
      <alignment vertical="top"/>
    </xf>
    <xf numFmtId="0" fontId="2" fillId="0" borderId="14" xfId="0" applyFont="1" applyFill="1" applyBorder="1" applyAlignment="1">
      <alignment horizontal="center" vertical="center" textRotation="90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30" xfId="0" applyFont="1" applyBorder="1" applyAlignment="1">
      <alignment horizontal="left"/>
    </xf>
    <xf numFmtId="0" fontId="2" fillId="0" borderId="30" xfId="0" applyFont="1" applyFill="1" applyBorder="1" applyAlignment="1">
      <alignment horizontal="left"/>
    </xf>
    <xf numFmtId="0" fontId="2" fillId="0" borderId="0" xfId="0" applyFont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" fontId="34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 textRotation="90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/>
    <xf numFmtId="0" fontId="2" fillId="0" borderId="0" xfId="0" applyFont="1" applyAlignment="1">
      <alignment horizontal="center" vertical="center"/>
    </xf>
    <xf numFmtId="2" fontId="16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38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top"/>
    </xf>
    <xf numFmtId="2" fontId="16" fillId="0" borderId="11" xfId="0" applyNumberFormat="1" applyFont="1" applyBorder="1" applyAlignment="1">
      <alignment horizontal="center" vertical="center" textRotation="90" wrapText="1"/>
    </xf>
    <xf numFmtId="2" fontId="16" fillId="0" borderId="2" xfId="0" applyNumberFormat="1" applyFont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6" fillId="0" borderId="11" xfId="0" applyFont="1" applyBorder="1" applyAlignment="1">
      <alignment horizontal="center" vertical="center" textRotation="90"/>
    </xf>
    <xf numFmtId="0" fontId="16" fillId="0" borderId="2" xfId="0" applyFont="1" applyBorder="1" applyAlignment="1">
      <alignment horizontal="center" vertical="center" textRotation="90"/>
    </xf>
    <xf numFmtId="0" fontId="16" fillId="4" borderId="11" xfId="0" applyFont="1" applyFill="1" applyBorder="1" applyAlignment="1">
      <alignment horizontal="center" vertical="center" textRotation="90"/>
    </xf>
    <xf numFmtId="0" fontId="16" fillId="4" borderId="2" xfId="0" applyFont="1" applyFill="1" applyBorder="1" applyAlignment="1">
      <alignment horizontal="center" vertical="center" textRotation="90"/>
    </xf>
    <xf numFmtId="0" fontId="16" fillId="4" borderId="1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wrapText="1"/>
    </xf>
    <xf numFmtId="0" fontId="34" fillId="0" borderId="0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textRotation="90" wrapText="1"/>
    </xf>
    <xf numFmtId="0" fontId="2" fillId="0" borderId="14" xfId="0" applyFont="1" applyFill="1" applyBorder="1" applyAlignment="1">
      <alignment horizontal="center" vertical="center" textRotation="90" wrapText="1"/>
    </xf>
    <xf numFmtId="0" fontId="2" fillId="0" borderId="2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wrapText="1"/>
    </xf>
    <xf numFmtId="0" fontId="0" fillId="0" borderId="30" xfId="0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23" xfId="0" applyFont="1" applyFill="1" applyBorder="1" applyAlignment="1">
      <alignment horizontal="center" vertical="center" textRotation="90" wrapText="1"/>
    </xf>
    <xf numFmtId="0" fontId="2" fillId="0" borderId="13" xfId="0" applyFont="1" applyFill="1" applyBorder="1" applyAlignment="1">
      <alignment horizontal="center" vertical="center" textRotation="90" wrapText="1"/>
    </xf>
    <xf numFmtId="0" fontId="6" fillId="0" borderId="6" xfId="0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right" vertical="center" wrapText="1"/>
    </xf>
    <xf numFmtId="0" fontId="6" fillId="0" borderId="12" xfId="0" applyFont="1" applyFill="1" applyBorder="1" applyAlignment="1">
      <alignment horizontal="right" vertical="center" wrapText="1"/>
    </xf>
    <xf numFmtId="0" fontId="33" fillId="0" borderId="0" xfId="0" applyFont="1" applyAlignment="1">
      <alignment horizontal="left" wrapText="1"/>
    </xf>
    <xf numFmtId="0" fontId="4" fillId="0" borderId="0" xfId="0" applyFont="1" applyFill="1" applyBorder="1" applyAlignment="1">
      <alignment horizontal="left" vertical="center"/>
    </xf>
    <xf numFmtId="0" fontId="9" fillId="2" borderId="20" xfId="0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24" fillId="3" borderId="20" xfId="0" applyFont="1" applyFill="1" applyBorder="1" applyAlignment="1">
      <alignment horizontal="center" vertical="center" wrapText="1"/>
    </xf>
    <xf numFmtId="0" fontId="24" fillId="3" borderId="21" xfId="0" applyFont="1" applyFill="1" applyBorder="1" applyAlignment="1">
      <alignment horizontal="center" vertical="center" wrapText="1"/>
    </xf>
    <xf numFmtId="0" fontId="24" fillId="3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textRotation="90" wrapText="1"/>
    </xf>
    <xf numFmtId="0" fontId="4" fillId="0" borderId="14" xfId="0" applyFont="1" applyFill="1" applyBorder="1" applyAlignment="1">
      <alignment horizontal="center" vertical="center" textRotation="90" wrapText="1"/>
    </xf>
    <xf numFmtId="0" fontId="4" fillId="0" borderId="24" xfId="0" applyFont="1" applyFill="1" applyBorder="1" applyAlignment="1">
      <alignment horizontal="center" vertical="center"/>
    </xf>
  </cellXfs>
  <cellStyles count="8">
    <cellStyle name="Comma" xfId="3" builtinId="3"/>
    <cellStyle name="Comma 2" xfId="5"/>
    <cellStyle name="Normal" xfId="0" builtinId="0"/>
    <cellStyle name="Normal 2" xfId="1"/>
    <cellStyle name="Normal 2 2" xfId="4"/>
    <cellStyle name="Normal_Sheet2" xfId="2"/>
    <cellStyle name="Parasts 2" xfId="7"/>
    <cellStyle name="Percent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65</xdr:row>
      <xdr:rowOff>0</xdr:rowOff>
    </xdr:from>
    <xdr:to>
      <xdr:col>2</xdr:col>
      <xdr:colOff>95250</xdr:colOff>
      <xdr:row>65</xdr:row>
      <xdr:rowOff>0</xdr:rowOff>
    </xdr:to>
    <xdr:sp macro="" textlink="">
      <xdr:nvSpPr>
        <xdr:cNvPr id="2189" name="Line 1">
          <a:extLst>
            <a:ext uri="{FF2B5EF4-FFF2-40B4-BE49-F238E27FC236}">
              <a16:creationId xmlns="" xmlns:a16="http://schemas.microsoft.com/office/drawing/2014/main" id="{00000000-0008-0000-0400-00008D080000}"/>
            </a:ext>
          </a:extLst>
        </xdr:cNvPr>
        <xdr:cNvSpPr>
          <a:spLocks noChangeShapeType="1"/>
        </xdr:cNvSpPr>
      </xdr:nvSpPr>
      <xdr:spPr bwMode="auto">
        <a:xfrm>
          <a:off x="3600450" y="1361122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104</xdr:row>
      <xdr:rowOff>0</xdr:rowOff>
    </xdr:from>
    <xdr:to>
      <xdr:col>1</xdr:col>
      <xdr:colOff>95250</xdr:colOff>
      <xdr:row>104</xdr:row>
      <xdr:rowOff>0</xdr:rowOff>
    </xdr:to>
    <xdr:sp macro="" textlink="">
      <xdr:nvSpPr>
        <xdr:cNvPr id="2190" name="Line 1">
          <a:extLst>
            <a:ext uri="{FF2B5EF4-FFF2-40B4-BE49-F238E27FC236}">
              <a16:creationId xmlns="" xmlns:a16="http://schemas.microsoft.com/office/drawing/2014/main" id="{00000000-0008-0000-0400-00008E080000}"/>
            </a:ext>
          </a:extLst>
        </xdr:cNvPr>
        <xdr:cNvSpPr>
          <a:spLocks noChangeShapeType="1"/>
        </xdr:cNvSpPr>
      </xdr:nvSpPr>
      <xdr:spPr bwMode="auto">
        <a:xfrm>
          <a:off x="733425" y="2126932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C13" sqref="C13"/>
    </sheetView>
  </sheetViews>
  <sheetFormatPr defaultColWidth="9.140625" defaultRowHeight="12.75"/>
  <cols>
    <col min="1" max="1" width="4.140625" style="210" customWidth="1"/>
    <col min="2" max="2" width="13.28515625" style="210" bestFit="1" customWidth="1"/>
    <col min="3" max="3" width="39" style="209" customWidth="1"/>
    <col min="4" max="4" width="15.5703125" style="234" customWidth="1"/>
    <col min="5" max="5" width="14.140625" style="210" customWidth="1"/>
    <col min="6" max="6" width="17.7109375" style="211" customWidth="1"/>
    <col min="7" max="7" width="12.85546875" style="212" customWidth="1"/>
    <col min="8" max="8" width="13.7109375" style="212" customWidth="1"/>
    <col min="9" max="16384" width="9.140625" style="213"/>
  </cols>
  <sheetData>
    <row r="1" spans="1:13" ht="48" customHeight="1">
      <c r="G1" s="267" t="s">
        <v>601</v>
      </c>
      <c r="H1" s="267"/>
    </row>
    <row r="2" spans="1:13" ht="19.5" customHeight="1">
      <c r="A2" s="268" t="s">
        <v>602</v>
      </c>
      <c r="B2" s="269"/>
      <c r="C2" s="269"/>
      <c r="D2" s="269"/>
      <c r="E2" s="269"/>
      <c r="F2" s="269"/>
      <c r="G2" s="269"/>
      <c r="H2" s="269"/>
    </row>
    <row r="3" spans="1:13" customFormat="1" ht="17.25" customHeight="1">
      <c r="A3" s="270" t="s">
        <v>571</v>
      </c>
      <c r="B3" s="271"/>
      <c r="C3" s="271"/>
      <c r="D3" s="271"/>
      <c r="E3" s="271"/>
      <c r="F3" s="271"/>
      <c r="G3" s="271"/>
      <c r="H3" s="271"/>
      <c r="I3" s="236"/>
      <c r="J3" s="236"/>
      <c r="K3" s="236"/>
      <c r="L3" s="236"/>
      <c r="M3" s="236"/>
    </row>
    <row r="4" spans="1:13" customFormat="1">
      <c r="A4" s="266" t="s">
        <v>555</v>
      </c>
      <c r="B4" s="266"/>
      <c r="C4" s="275" t="s">
        <v>600</v>
      </c>
      <c r="D4" s="275"/>
      <c r="E4" s="275"/>
      <c r="F4" s="275"/>
      <c r="G4" s="275"/>
      <c r="H4" s="275"/>
      <c r="I4" s="275"/>
      <c r="J4" s="275"/>
      <c r="K4" s="275"/>
      <c r="L4" s="275"/>
      <c r="M4" s="275"/>
    </row>
    <row r="5" spans="1:13" customFormat="1">
      <c r="A5" s="276" t="s">
        <v>555</v>
      </c>
      <c r="B5" s="277"/>
      <c r="C5" s="275" t="s">
        <v>600</v>
      </c>
      <c r="D5" s="275"/>
      <c r="E5" s="275"/>
      <c r="F5" s="275"/>
      <c r="G5" s="275"/>
      <c r="H5" s="275"/>
      <c r="I5" s="275"/>
      <c r="J5" s="275"/>
      <c r="K5" s="275"/>
      <c r="L5" s="275"/>
      <c r="M5" s="275"/>
    </row>
    <row r="6" spans="1:13" customFormat="1">
      <c r="A6" s="276" t="s">
        <v>587</v>
      </c>
      <c r="B6" s="277"/>
      <c r="C6" s="287" t="s">
        <v>599</v>
      </c>
      <c r="D6" s="287"/>
      <c r="E6" s="287"/>
      <c r="F6" s="287"/>
      <c r="G6" s="287"/>
      <c r="H6" s="287"/>
      <c r="I6" s="287"/>
      <c r="J6" s="287"/>
      <c r="K6" s="287"/>
      <c r="L6" s="287"/>
      <c r="M6" s="287"/>
    </row>
    <row r="7" spans="1:13" ht="14.25">
      <c r="A7" s="208"/>
      <c r="B7" s="208"/>
      <c r="D7" s="214"/>
    </row>
    <row r="9" spans="1:13" ht="14.25">
      <c r="A9" s="278" t="s">
        <v>3</v>
      </c>
      <c r="B9" s="280" t="s">
        <v>577</v>
      </c>
      <c r="C9" s="282" t="s">
        <v>562</v>
      </c>
      <c r="D9" s="284" t="s">
        <v>563</v>
      </c>
      <c r="E9" s="286" t="s">
        <v>564</v>
      </c>
      <c r="F9" s="286"/>
      <c r="G9" s="286"/>
      <c r="H9" s="273" t="s">
        <v>30</v>
      </c>
      <c r="I9" s="215"/>
    </row>
    <row r="10" spans="1:13" ht="60.75" customHeight="1">
      <c r="A10" s="279"/>
      <c r="B10" s="281"/>
      <c r="C10" s="283"/>
      <c r="D10" s="285"/>
      <c r="E10" s="216" t="s">
        <v>565</v>
      </c>
      <c r="F10" s="216" t="s">
        <v>566</v>
      </c>
      <c r="G10" s="216" t="s">
        <v>567</v>
      </c>
      <c r="H10" s="274"/>
    </row>
    <row r="11" spans="1:13" s="218" customFormat="1" ht="25.5">
      <c r="A11" s="238">
        <v>1</v>
      </c>
      <c r="B11" s="238">
        <v>1</v>
      </c>
      <c r="C11" s="109" t="s">
        <v>597</v>
      </c>
      <c r="D11" s="251"/>
      <c r="E11" s="251"/>
      <c r="F11" s="265">
        <v>0</v>
      </c>
      <c r="G11" s="251"/>
      <c r="H11" s="251"/>
      <c r="I11" s="35"/>
      <c r="J11" s="217"/>
    </row>
    <row r="12" spans="1:13" s="218" customFormat="1" ht="25.5">
      <c r="A12" s="238">
        <v>2</v>
      </c>
      <c r="B12" s="238">
        <v>2</v>
      </c>
      <c r="C12" s="109" t="s">
        <v>598</v>
      </c>
      <c r="D12" s="251"/>
      <c r="E12" s="251"/>
      <c r="F12" s="265">
        <v>0</v>
      </c>
      <c r="G12" s="251"/>
      <c r="H12" s="251"/>
      <c r="I12" s="217"/>
      <c r="J12" s="217"/>
    </row>
    <row r="13" spans="1:13" ht="25.5">
      <c r="A13" s="237">
        <v>1</v>
      </c>
      <c r="B13" s="237">
        <v>3</v>
      </c>
      <c r="C13" s="109" t="s">
        <v>604</v>
      </c>
      <c r="D13" s="239"/>
      <c r="E13" s="240"/>
      <c r="F13" s="240">
        <v>0</v>
      </c>
      <c r="G13" s="240"/>
      <c r="H13" s="241"/>
      <c r="I13" s="219"/>
      <c r="J13" s="219"/>
    </row>
    <row r="14" spans="1:13" s="15" customFormat="1">
      <c r="A14" s="220"/>
      <c r="B14" s="220"/>
      <c r="C14" s="221" t="s">
        <v>4</v>
      </c>
      <c r="D14" s="222"/>
      <c r="E14" s="223"/>
      <c r="F14" s="223">
        <f>SUM(F11:F13)</f>
        <v>0</v>
      </c>
      <c r="G14" s="223"/>
      <c r="H14" s="224"/>
      <c r="I14" s="225"/>
      <c r="J14" s="225"/>
    </row>
    <row r="15" spans="1:13">
      <c r="C15" s="226" t="s">
        <v>572</v>
      </c>
      <c r="D15" s="227"/>
      <c r="E15" s="228"/>
      <c r="F15" s="229"/>
      <c r="G15" s="229"/>
      <c r="H15" s="229"/>
      <c r="I15" s="219"/>
      <c r="J15" s="219"/>
    </row>
    <row r="16" spans="1:13">
      <c r="C16" s="230" t="s">
        <v>568</v>
      </c>
      <c r="D16" s="227"/>
      <c r="E16" s="228"/>
      <c r="F16" s="229"/>
      <c r="G16" s="229"/>
      <c r="H16" s="229"/>
      <c r="I16" s="219"/>
      <c r="J16" s="219"/>
    </row>
    <row r="17" spans="3:10">
      <c r="C17" s="226" t="s">
        <v>573</v>
      </c>
      <c r="D17" s="227"/>
      <c r="E17" s="228"/>
      <c r="F17" s="229"/>
      <c r="G17" s="229"/>
      <c r="H17" s="229"/>
      <c r="I17" s="219"/>
      <c r="J17" s="219"/>
    </row>
    <row r="18" spans="3:10">
      <c r="C18" s="231" t="s">
        <v>569</v>
      </c>
      <c r="D18" s="232"/>
      <c r="E18" s="228"/>
      <c r="F18" s="229"/>
      <c r="G18" s="229"/>
      <c r="H18" s="229"/>
      <c r="I18" s="219"/>
      <c r="J18" s="219"/>
    </row>
    <row r="20" spans="3:10">
      <c r="C20" s="233" t="s">
        <v>5</v>
      </c>
      <c r="F20" s="272"/>
      <c r="G20" s="272"/>
    </row>
    <row r="21" spans="3:10">
      <c r="F21" s="235"/>
      <c r="G21" s="211"/>
    </row>
    <row r="22" spans="3:10">
      <c r="C22" s="272" t="s">
        <v>586</v>
      </c>
      <c r="D22" s="272"/>
      <c r="E22" s="272"/>
      <c r="F22" s="235"/>
      <c r="G22" s="211"/>
    </row>
    <row r="23" spans="3:10">
      <c r="F23" s="235"/>
      <c r="G23" s="211"/>
    </row>
    <row r="24" spans="3:10">
      <c r="C24" s="233" t="s">
        <v>570</v>
      </c>
      <c r="F24" s="272"/>
      <c r="G24" s="272"/>
    </row>
    <row r="25" spans="3:10">
      <c r="F25" s="235"/>
      <c r="G25" s="211"/>
    </row>
    <row r="26" spans="3:10">
      <c r="C26" s="235"/>
    </row>
  </sheetData>
  <mergeCells count="18">
    <mergeCell ref="C22:E22"/>
    <mergeCell ref="F24:G24"/>
    <mergeCell ref="A5:B5"/>
    <mergeCell ref="A9:A10"/>
    <mergeCell ref="B9:B10"/>
    <mergeCell ref="C9:C10"/>
    <mergeCell ref="D9:D10"/>
    <mergeCell ref="E9:G9"/>
    <mergeCell ref="C5:M5"/>
    <mergeCell ref="A6:B6"/>
    <mergeCell ref="C6:M6"/>
    <mergeCell ref="A4:B4"/>
    <mergeCell ref="G1:H1"/>
    <mergeCell ref="A2:H2"/>
    <mergeCell ref="A3:H3"/>
    <mergeCell ref="F20:G20"/>
    <mergeCell ref="H9:H10"/>
    <mergeCell ref="C4:M4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opLeftCell="A2" zoomScaleNormal="100" workbookViewId="0">
      <selection activeCell="H19" sqref="H19"/>
    </sheetView>
  </sheetViews>
  <sheetFormatPr defaultRowHeight="12.75"/>
  <cols>
    <col min="1" max="1" width="6.140625" style="137" customWidth="1"/>
    <col min="2" max="2" width="40.42578125" style="137" customWidth="1"/>
    <col min="3" max="3" width="7.28515625" style="137" customWidth="1"/>
    <col min="4" max="4" width="8.7109375" style="134" customWidth="1"/>
    <col min="5" max="5" width="7.28515625" style="137" customWidth="1"/>
    <col min="6" max="6" width="6.140625" style="137" customWidth="1"/>
    <col min="7" max="7" width="7.85546875" style="137" customWidth="1"/>
    <col min="8" max="8" width="9.85546875" style="137" bestFit="1" customWidth="1"/>
    <col min="9" max="9" width="7" style="134" customWidth="1"/>
    <col min="10" max="10" width="9.5703125" style="137" customWidth="1"/>
    <col min="11" max="11" width="9.28515625" style="137" bestFit="1" customWidth="1"/>
    <col min="12" max="12" width="10.5703125" style="137" customWidth="1"/>
    <col min="13" max="13" width="10.28515625" style="137" customWidth="1"/>
    <col min="14" max="14" width="10.42578125" style="137" customWidth="1"/>
    <col min="15" max="15" width="11.140625" style="137" bestFit="1" customWidth="1"/>
    <col min="16" max="16" width="10.28515625" style="137" bestFit="1" customWidth="1"/>
    <col min="17" max="16384" width="9.140625" style="137"/>
  </cols>
  <sheetData>
    <row r="1" spans="1:15" hidden="1">
      <c r="A1" s="134"/>
      <c r="B1" s="134"/>
      <c r="C1" s="134"/>
      <c r="E1" s="134"/>
      <c r="F1" s="134">
        <v>9.8000000000000007</v>
      </c>
      <c r="G1" s="134"/>
      <c r="H1" s="134"/>
      <c r="I1" s="204"/>
      <c r="J1" s="134"/>
      <c r="K1" s="134"/>
      <c r="L1" s="134"/>
      <c r="M1" s="134"/>
      <c r="N1" s="134"/>
      <c r="O1" s="134"/>
    </row>
    <row r="2" spans="1:15" s="49" customFormat="1" ht="15">
      <c r="A2" s="288" t="s">
        <v>575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</row>
    <row r="3" spans="1:15" s="49" customFormat="1" ht="15">
      <c r="A3" s="289" t="s">
        <v>585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</row>
    <row r="4" spans="1:15" s="49" customFormat="1">
      <c r="A4" s="290" t="s">
        <v>554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</row>
    <row r="5" spans="1:15" s="49" customFormat="1" ht="15.75" customHeight="1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s="49" customFormat="1">
      <c r="A6" s="275" t="s">
        <v>15</v>
      </c>
      <c r="B6" s="275"/>
      <c r="C6" s="205" t="s">
        <v>589</v>
      </c>
      <c r="D6" s="35"/>
      <c r="E6" s="35"/>
      <c r="F6" s="35"/>
      <c r="G6" s="35"/>
      <c r="H6" s="35"/>
      <c r="I6" s="35"/>
      <c r="J6" s="35"/>
      <c r="K6" s="35"/>
      <c r="L6" s="35"/>
      <c r="M6" s="17"/>
      <c r="N6" s="17"/>
      <c r="O6" s="17"/>
    </row>
    <row r="7" spans="1:15" s="49" customFormat="1">
      <c r="A7" s="275" t="s">
        <v>555</v>
      </c>
      <c r="B7" s="275"/>
      <c r="C7" s="205" t="s">
        <v>590</v>
      </c>
      <c r="D7" s="35"/>
      <c r="E7" s="35"/>
      <c r="F7" s="35"/>
      <c r="G7" s="35"/>
      <c r="H7" s="35"/>
      <c r="I7" s="35"/>
      <c r="J7" s="35"/>
      <c r="K7" s="35"/>
      <c r="L7" s="35"/>
      <c r="M7" s="17"/>
      <c r="N7" s="17"/>
      <c r="O7" s="17"/>
    </row>
    <row r="8" spans="1:15" s="49" customFormat="1">
      <c r="A8" s="275" t="s">
        <v>16</v>
      </c>
      <c r="B8" s="275"/>
      <c r="C8" s="205" t="s">
        <v>591</v>
      </c>
      <c r="D8" s="118"/>
      <c r="E8" s="118"/>
      <c r="F8" s="118"/>
      <c r="G8" s="17"/>
      <c r="H8" s="119"/>
      <c r="I8" s="17"/>
      <c r="J8" s="17"/>
      <c r="K8" s="17"/>
      <c r="L8" s="17"/>
      <c r="M8" s="17"/>
      <c r="N8" s="17"/>
      <c r="O8" s="17"/>
    </row>
    <row r="9" spans="1:15" s="49" customFormat="1">
      <c r="A9" s="199"/>
      <c r="B9" s="199"/>
      <c r="C9" s="121"/>
      <c r="D9" s="121"/>
      <c r="E9" s="121"/>
      <c r="F9" s="120"/>
      <c r="G9" s="120"/>
      <c r="H9" s="119"/>
      <c r="I9" s="120"/>
      <c r="J9" s="120"/>
      <c r="K9" s="120"/>
      <c r="L9" s="120"/>
      <c r="M9" s="120"/>
      <c r="N9" s="120"/>
      <c r="O9" s="120"/>
    </row>
    <row r="10" spans="1:15" s="49" customFormat="1">
      <c r="A10" s="35" t="s">
        <v>581</v>
      </c>
      <c r="B10" s="199"/>
      <c r="C10" s="122"/>
      <c r="D10" s="123"/>
      <c r="E10" s="120"/>
      <c r="F10" s="120"/>
      <c r="H10" s="7"/>
      <c r="I10" s="36" t="s">
        <v>7</v>
      </c>
      <c r="J10" s="8">
        <f>O17</f>
        <v>0</v>
      </c>
      <c r="K10" s="7" t="s">
        <v>552</v>
      </c>
      <c r="L10" s="120"/>
      <c r="M10" s="120"/>
      <c r="N10" s="120"/>
      <c r="O10" s="120"/>
    </row>
    <row r="11" spans="1:15" s="49" customFormat="1">
      <c r="A11" s="199"/>
      <c r="B11" s="199"/>
      <c r="C11" s="122"/>
      <c r="D11" s="123"/>
      <c r="E11" s="120"/>
      <c r="F11" s="120"/>
      <c r="G11" s="17"/>
      <c r="H11" s="17"/>
      <c r="I11" s="190" t="s">
        <v>2</v>
      </c>
      <c r="J11" s="275" t="s">
        <v>582</v>
      </c>
      <c r="K11" s="275"/>
      <c r="L11" s="275"/>
      <c r="M11" s="120"/>
      <c r="N11" s="120"/>
      <c r="O11" s="120"/>
    </row>
    <row r="12" spans="1:15" s="136" customFormat="1" ht="13.5" thickBot="1">
      <c r="A12" s="35"/>
      <c r="B12" s="199"/>
      <c r="C12" s="121"/>
      <c r="D12" s="121"/>
      <c r="E12" s="189"/>
      <c r="F12" s="188"/>
      <c r="G12" s="189"/>
      <c r="H12" s="189"/>
      <c r="I12" s="189"/>
      <c r="J12" s="188"/>
      <c r="K12" s="188"/>
      <c r="L12" s="188"/>
      <c r="M12" s="188"/>
      <c r="N12" s="188"/>
      <c r="O12" s="188"/>
    </row>
    <row r="13" spans="1:15" s="136" customFormat="1">
      <c r="A13" s="292" t="s">
        <v>19</v>
      </c>
      <c r="B13" s="294" t="s">
        <v>556</v>
      </c>
      <c r="C13" s="296" t="s">
        <v>546</v>
      </c>
      <c r="D13" s="296" t="s">
        <v>547</v>
      </c>
      <c r="E13" s="294" t="s">
        <v>23</v>
      </c>
      <c r="F13" s="294"/>
      <c r="G13" s="294"/>
      <c r="H13" s="294"/>
      <c r="I13" s="294"/>
      <c r="J13" s="294"/>
      <c r="K13" s="294" t="s">
        <v>24</v>
      </c>
      <c r="L13" s="294" t="s">
        <v>24</v>
      </c>
      <c r="M13" s="294"/>
      <c r="N13" s="294"/>
      <c r="O13" s="298"/>
    </row>
    <row r="14" spans="1:15" s="7" customFormat="1" ht="107.25" thickBot="1">
      <c r="A14" s="293"/>
      <c r="B14" s="295"/>
      <c r="C14" s="297"/>
      <c r="D14" s="297"/>
      <c r="E14" s="200" t="s">
        <v>25</v>
      </c>
      <c r="F14" s="200" t="s">
        <v>548</v>
      </c>
      <c r="G14" s="200" t="s">
        <v>549</v>
      </c>
      <c r="H14" s="125" t="s">
        <v>557</v>
      </c>
      <c r="I14" s="200" t="s">
        <v>550</v>
      </c>
      <c r="J14" s="200" t="s">
        <v>553</v>
      </c>
      <c r="K14" s="200" t="s">
        <v>30</v>
      </c>
      <c r="L14" s="200" t="s">
        <v>551</v>
      </c>
      <c r="M14" s="200" t="s">
        <v>558</v>
      </c>
      <c r="N14" s="200" t="s">
        <v>550</v>
      </c>
      <c r="O14" s="126" t="s">
        <v>559</v>
      </c>
    </row>
    <row r="15" spans="1:15" s="7" customFormat="1" ht="13.5" thickBot="1">
      <c r="A15" s="127">
        <v>1</v>
      </c>
      <c r="B15" s="128">
        <v>2</v>
      </c>
      <c r="C15" s="128">
        <v>3</v>
      </c>
      <c r="D15" s="128">
        <v>4</v>
      </c>
      <c r="E15" s="128">
        <v>5</v>
      </c>
      <c r="F15" s="128">
        <v>6</v>
      </c>
      <c r="G15" s="128">
        <v>7</v>
      </c>
      <c r="H15" s="128">
        <v>8</v>
      </c>
      <c r="I15" s="128">
        <v>9</v>
      </c>
      <c r="J15" s="128">
        <v>10</v>
      </c>
      <c r="K15" s="128">
        <v>11</v>
      </c>
      <c r="L15" s="128">
        <v>12</v>
      </c>
      <c r="M15" s="128">
        <v>13</v>
      </c>
      <c r="N15" s="128">
        <v>14</v>
      </c>
      <c r="O15" s="129">
        <v>15</v>
      </c>
    </row>
    <row r="16" spans="1:15" s="7" customFormat="1" ht="57.75" customHeight="1">
      <c r="A16" s="264">
        <v>1</v>
      </c>
      <c r="B16" s="201" t="s">
        <v>605</v>
      </c>
      <c r="C16" s="202" t="s">
        <v>36</v>
      </c>
      <c r="D16" s="203">
        <v>116</v>
      </c>
      <c r="E16" s="196"/>
      <c r="F16" s="196"/>
      <c r="G16" s="191"/>
      <c r="H16" s="191">
        <v>0</v>
      </c>
      <c r="I16" s="192"/>
      <c r="J16" s="191"/>
      <c r="K16" s="191"/>
      <c r="L16" s="191"/>
      <c r="M16" s="191">
        <v>0</v>
      </c>
      <c r="N16" s="191"/>
      <c r="O16" s="191"/>
    </row>
    <row r="17" spans="1:15" s="7" customFormat="1">
      <c r="A17" s="299" t="s">
        <v>574</v>
      </c>
      <c r="B17" s="300"/>
      <c r="C17" s="300"/>
      <c r="D17" s="300"/>
      <c r="E17" s="300"/>
      <c r="F17" s="300"/>
      <c r="G17" s="300"/>
      <c r="H17" s="300"/>
      <c r="I17" s="300"/>
      <c r="J17" s="301"/>
      <c r="K17" s="42"/>
      <c r="L17" s="42"/>
      <c r="M17" s="191">
        <v>0</v>
      </c>
      <c r="N17" s="42"/>
      <c r="O17" s="42"/>
    </row>
    <row r="18" spans="1:15" s="7" customFormat="1">
      <c r="A18" s="144" t="s">
        <v>580</v>
      </c>
      <c r="B18" s="17" t="s">
        <v>610</v>
      </c>
      <c r="C18" s="248"/>
      <c r="D18" s="248"/>
      <c r="E18" s="249"/>
      <c r="F18" s="249"/>
      <c r="G18" s="249"/>
      <c r="H18" s="249"/>
      <c r="I18" s="249"/>
      <c r="J18" s="249"/>
      <c r="K18" s="188"/>
      <c r="L18" s="188"/>
      <c r="M18" s="250"/>
      <c r="N18" s="188"/>
      <c r="O18" s="188"/>
    </row>
    <row r="19" spans="1:15" s="7" customFormat="1" ht="60.75" customHeight="1">
      <c r="A19" s="194" t="s">
        <v>5</v>
      </c>
      <c r="B19" s="206"/>
      <c r="C19" s="193"/>
      <c r="D19" s="134"/>
      <c r="E19" s="137"/>
      <c r="F19" s="137"/>
      <c r="G19" s="137"/>
      <c r="H19" s="244" t="s">
        <v>570</v>
      </c>
      <c r="I19" s="247"/>
      <c r="J19" s="190"/>
      <c r="K19" s="137"/>
      <c r="L19" s="137"/>
      <c r="M19" s="137"/>
      <c r="N19" s="137"/>
      <c r="O19" s="137"/>
    </row>
    <row r="20" spans="1:15" s="7" customFormat="1" ht="16.5" customHeight="1">
      <c r="A20" s="291" t="s">
        <v>561</v>
      </c>
      <c r="B20" s="291"/>
      <c r="C20" s="291"/>
      <c r="D20" s="134"/>
      <c r="E20" s="137"/>
      <c r="F20" s="137"/>
      <c r="G20" s="137"/>
      <c r="H20" s="302" t="s">
        <v>561</v>
      </c>
      <c r="I20" s="302"/>
      <c r="J20" s="302"/>
      <c r="K20" s="303"/>
      <c r="L20" s="137"/>
      <c r="M20" s="137"/>
      <c r="N20" s="137"/>
      <c r="O20" s="137"/>
    </row>
    <row r="22" spans="1:15">
      <c r="A22" s="137" t="s">
        <v>583</v>
      </c>
    </row>
    <row r="24" spans="1:15" ht="21" customHeight="1"/>
  </sheetData>
  <mergeCells count="16">
    <mergeCell ref="A20:C20"/>
    <mergeCell ref="J11:L11"/>
    <mergeCell ref="A13:A14"/>
    <mergeCell ref="B13:B14"/>
    <mergeCell ref="C13:C14"/>
    <mergeCell ref="D13:D14"/>
    <mergeCell ref="E13:J13"/>
    <mergeCell ref="K13:O13"/>
    <mergeCell ref="A17:J17"/>
    <mergeCell ref="H20:K20"/>
    <mergeCell ref="A8:B8"/>
    <mergeCell ref="A2:O2"/>
    <mergeCell ref="A3:O3"/>
    <mergeCell ref="A4:O4"/>
    <mergeCell ref="A6:B6"/>
    <mergeCell ref="A7:B7"/>
  </mergeCells>
  <pageMargins left="0.78740157480314965" right="0.70866141732283472" top="0.94488188976377963" bottom="0.74803149606299213" header="0.31496062992125984" footer="0.31496062992125984"/>
  <pageSetup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opLeftCell="A2" zoomScaleNormal="100" zoomScaleSheetLayoutView="90" workbookViewId="0">
      <selection activeCell="M16" sqref="M16:M18"/>
    </sheetView>
  </sheetViews>
  <sheetFormatPr defaultRowHeight="12.75"/>
  <cols>
    <col min="1" max="1" width="6.140625" style="134" customWidth="1"/>
    <col min="2" max="2" width="40.42578125" style="134" customWidth="1"/>
    <col min="3" max="3" width="7.28515625" style="134" customWidth="1"/>
    <col min="4" max="4" width="8.7109375" style="134" customWidth="1"/>
    <col min="5" max="5" width="7.28515625" style="134" customWidth="1"/>
    <col min="6" max="6" width="6.140625" style="134" customWidth="1"/>
    <col min="7" max="7" width="7.85546875" style="134" customWidth="1"/>
    <col min="8" max="8" width="9.85546875" style="134" bestFit="1" customWidth="1"/>
    <col min="9" max="9" width="7" style="134" customWidth="1"/>
    <col min="10" max="10" width="9.5703125" style="134" customWidth="1"/>
    <col min="11" max="11" width="9.28515625" style="134" bestFit="1" customWidth="1"/>
    <col min="12" max="12" width="10.5703125" style="134" customWidth="1"/>
    <col min="13" max="13" width="10.28515625" style="134" customWidth="1"/>
    <col min="14" max="14" width="10.42578125" style="134" customWidth="1"/>
    <col min="15" max="15" width="11.140625" style="134" bestFit="1" customWidth="1"/>
    <col min="16" max="16384" width="9.140625" style="134"/>
  </cols>
  <sheetData>
    <row r="1" spans="1:15" hidden="1">
      <c r="F1" s="134">
        <v>9.8000000000000007</v>
      </c>
      <c r="I1" s="204"/>
    </row>
    <row r="2" spans="1:15" s="49" customFormat="1" ht="15">
      <c r="A2" s="288" t="s">
        <v>576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</row>
    <row r="3" spans="1:15" s="49" customFormat="1" ht="15">
      <c r="A3" s="289" t="s">
        <v>584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</row>
    <row r="4" spans="1:15" s="49" customFormat="1">
      <c r="A4" s="290" t="s">
        <v>554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</row>
    <row r="5" spans="1:15" s="49" customFormat="1" ht="15.75" customHeight="1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s="49" customFormat="1">
      <c r="A6" s="275" t="s">
        <v>15</v>
      </c>
      <c r="B6" s="275"/>
      <c r="C6" s="205" t="s">
        <v>589</v>
      </c>
      <c r="D6" s="35"/>
      <c r="E6" s="35"/>
      <c r="F6" s="35"/>
      <c r="G6" s="35"/>
      <c r="H6" s="35"/>
      <c r="I6" s="35"/>
      <c r="J6" s="35"/>
      <c r="K6" s="35"/>
      <c r="L6" s="35"/>
      <c r="M6" s="17"/>
      <c r="N6" s="17"/>
      <c r="O6" s="17"/>
    </row>
    <row r="7" spans="1:15" s="49" customFormat="1">
      <c r="A7" s="275" t="s">
        <v>555</v>
      </c>
      <c r="B7" s="275"/>
      <c r="C7" s="205" t="s">
        <v>592</v>
      </c>
      <c r="D7" s="35"/>
      <c r="E7" s="35"/>
      <c r="F7" s="35"/>
      <c r="G7" s="35"/>
      <c r="H7" s="35"/>
      <c r="I7" s="35"/>
      <c r="J7" s="35"/>
      <c r="K7" s="35"/>
      <c r="L7" s="35"/>
      <c r="M7" s="17"/>
      <c r="N7" s="17"/>
      <c r="O7" s="17"/>
    </row>
    <row r="8" spans="1:15" s="49" customFormat="1">
      <c r="A8" s="275" t="s">
        <v>16</v>
      </c>
      <c r="B8" s="275"/>
      <c r="C8" s="205" t="s">
        <v>593</v>
      </c>
      <c r="D8" s="118"/>
      <c r="E8" s="118"/>
      <c r="F8" s="118"/>
      <c r="G8" s="17"/>
      <c r="H8" s="119"/>
      <c r="I8" s="17"/>
      <c r="J8" s="17"/>
      <c r="K8" s="17"/>
      <c r="L8" s="17"/>
      <c r="M8" s="17"/>
      <c r="N8" s="17"/>
      <c r="O8" s="17"/>
    </row>
    <row r="9" spans="1:15" s="49" customFormat="1">
      <c r="A9" s="199"/>
      <c r="B9" s="199"/>
      <c r="C9" s="121"/>
      <c r="D9" s="121"/>
      <c r="E9" s="121"/>
      <c r="F9" s="120"/>
      <c r="G9" s="120"/>
      <c r="H9" s="119"/>
      <c r="I9" s="120"/>
      <c r="J9" s="120"/>
      <c r="K9" s="120"/>
      <c r="L9" s="120"/>
      <c r="M9" s="120"/>
      <c r="N9" s="120"/>
      <c r="O9" s="120"/>
    </row>
    <row r="10" spans="1:15" s="49" customFormat="1">
      <c r="A10" s="35" t="s">
        <v>581</v>
      </c>
      <c r="B10" s="199"/>
      <c r="C10" s="122"/>
      <c r="D10" s="123"/>
      <c r="E10" s="120"/>
      <c r="F10" s="120"/>
      <c r="H10" s="7"/>
      <c r="I10" s="36" t="s">
        <v>7</v>
      </c>
      <c r="J10" s="8">
        <f>O20</f>
        <v>0</v>
      </c>
      <c r="K10" s="7" t="s">
        <v>552</v>
      </c>
      <c r="L10" s="120"/>
      <c r="M10" s="120"/>
      <c r="N10" s="120"/>
      <c r="O10" s="120"/>
    </row>
    <row r="11" spans="1:15" s="49" customFormat="1">
      <c r="A11" s="199"/>
      <c r="B11" s="199"/>
      <c r="C11" s="122"/>
      <c r="D11" s="123"/>
      <c r="E11" s="120"/>
      <c r="F11" s="120"/>
      <c r="G11" s="17"/>
      <c r="H11" s="17"/>
      <c r="I11" s="190" t="s">
        <v>2</v>
      </c>
      <c r="J11" s="275" t="s">
        <v>603</v>
      </c>
      <c r="K11" s="275"/>
      <c r="L11" s="275"/>
      <c r="M11" s="120"/>
      <c r="N11" s="120"/>
      <c r="O11" s="120"/>
    </row>
    <row r="12" spans="1:15" s="136" customFormat="1" ht="13.5" thickBot="1">
      <c r="A12" s="35"/>
      <c r="B12" s="199"/>
      <c r="C12" s="121"/>
      <c r="D12" s="121"/>
      <c r="E12" s="189"/>
      <c r="F12" s="188"/>
      <c r="G12" s="189"/>
      <c r="H12" s="189"/>
      <c r="I12" s="189"/>
      <c r="J12" s="188"/>
      <c r="K12" s="188"/>
      <c r="L12" s="188"/>
      <c r="M12" s="188"/>
      <c r="N12" s="188"/>
      <c r="O12" s="188"/>
    </row>
    <row r="13" spans="1:15" s="136" customFormat="1">
      <c r="A13" s="305" t="s">
        <v>3</v>
      </c>
      <c r="B13" s="294" t="s">
        <v>556</v>
      </c>
      <c r="C13" s="296" t="s">
        <v>546</v>
      </c>
      <c r="D13" s="296" t="s">
        <v>547</v>
      </c>
      <c r="E13" s="294" t="s">
        <v>23</v>
      </c>
      <c r="F13" s="294"/>
      <c r="G13" s="294"/>
      <c r="H13" s="294"/>
      <c r="I13" s="294"/>
      <c r="J13" s="294"/>
      <c r="K13" s="294" t="s">
        <v>24</v>
      </c>
      <c r="L13" s="294" t="s">
        <v>24</v>
      </c>
      <c r="M13" s="294"/>
      <c r="N13" s="294"/>
      <c r="O13" s="298"/>
    </row>
    <row r="14" spans="1:15" s="7" customFormat="1" ht="80.25" thickBot="1">
      <c r="A14" s="306"/>
      <c r="B14" s="295"/>
      <c r="C14" s="297"/>
      <c r="D14" s="297"/>
      <c r="E14" s="242" t="s">
        <v>25</v>
      </c>
      <c r="F14" s="242" t="s">
        <v>548</v>
      </c>
      <c r="G14" s="242" t="s">
        <v>549</v>
      </c>
      <c r="H14" s="125" t="s">
        <v>557</v>
      </c>
      <c r="I14" s="242" t="s">
        <v>550</v>
      </c>
      <c r="J14" s="242" t="s">
        <v>553</v>
      </c>
      <c r="K14" s="242" t="s">
        <v>30</v>
      </c>
      <c r="L14" s="242" t="s">
        <v>551</v>
      </c>
      <c r="M14" s="242" t="s">
        <v>558</v>
      </c>
      <c r="N14" s="242" t="s">
        <v>550</v>
      </c>
      <c r="O14" s="126" t="s">
        <v>559</v>
      </c>
    </row>
    <row r="15" spans="1:15" s="7" customFormat="1">
      <c r="A15" s="255">
        <v>1</v>
      </c>
      <c r="B15" s="256">
        <v>2</v>
      </c>
      <c r="C15" s="256">
        <v>3</v>
      </c>
      <c r="D15" s="256">
        <v>4</v>
      </c>
      <c r="E15" s="256">
        <v>5</v>
      </c>
      <c r="F15" s="256">
        <v>6</v>
      </c>
      <c r="G15" s="256">
        <v>7</v>
      </c>
      <c r="H15" s="256">
        <v>8</v>
      </c>
      <c r="I15" s="256">
        <v>9</v>
      </c>
      <c r="J15" s="256">
        <v>10</v>
      </c>
      <c r="K15" s="256">
        <v>11</v>
      </c>
      <c r="L15" s="256">
        <v>12</v>
      </c>
      <c r="M15" s="256">
        <v>13</v>
      </c>
      <c r="N15" s="256">
        <v>14</v>
      </c>
      <c r="O15" s="198">
        <v>15</v>
      </c>
    </row>
    <row r="16" spans="1:15" s="7" customFormat="1" ht="51">
      <c r="A16" s="261">
        <v>1</v>
      </c>
      <c r="B16" s="262" t="s">
        <v>606</v>
      </c>
      <c r="C16" s="261" t="s">
        <v>36</v>
      </c>
      <c r="D16" s="195">
        <v>268</v>
      </c>
      <c r="E16" s="261"/>
      <c r="F16" s="261"/>
      <c r="G16" s="261"/>
      <c r="H16" s="195">
        <v>0</v>
      </c>
      <c r="I16" s="261"/>
      <c r="J16" s="261"/>
      <c r="K16" s="261"/>
      <c r="L16" s="261"/>
      <c r="M16" s="195">
        <v>0</v>
      </c>
      <c r="N16" s="261"/>
      <c r="O16" s="261"/>
    </row>
    <row r="17" spans="1:15" s="7" customFormat="1" ht="51">
      <c r="A17" s="261">
        <v>2</v>
      </c>
      <c r="B17" s="262" t="s">
        <v>607</v>
      </c>
      <c r="C17" s="261" t="s">
        <v>36</v>
      </c>
      <c r="D17" s="195">
        <v>29</v>
      </c>
      <c r="E17" s="261"/>
      <c r="F17" s="261"/>
      <c r="G17" s="261"/>
      <c r="H17" s="195">
        <v>0</v>
      </c>
      <c r="I17" s="261"/>
      <c r="J17" s="261"/>
      <c r="K17" s="261"/>
      <c r="L17" s="261"/>
      <c r="M17" s="195">
        <v>0</v>
      </c>
      <c r="N17" s="261"/>
      <c r="O17" s="261"/>
    </row>
    <row r="18" spans="1:15" s="7" customFormat="1" ht="25.5">
      <c r="A18" s="261">
        <v>3</v>
      </c>
      <c r="B18" s="262" t="s">
        <v>608</v>
      </c>
      <c r="C18" s="261" t="s">
        <v>36</v>
      </c>
      <c r="D18" s="195">
        <v>29</v>
      </c>
      <c r="E18" s="261"/>
      <c r="F18" s="261"/>
      <c r="G18" s="261"/>
      <c r="H18" s="195">
        <v>0</v>
      </c>
      <c r="I18" s="261"/>
      <c r="J18" s="261"/>
      <c r="K18" s="261"/>
      <c r="L18" s="261"/>
      <c r="M18" s="195">
        <v>0</v>
      </c>
      <c r="N18" s="261"/>
      <c r="O18" s="261"/>
    </row>
    <row r="19" spans="1:15" s="7" customFormat="1" ht="60" customHeight="1">
      <c r="A19" s="263">
        <v>4</v>
      </c>
      <c r="B19" s="254" t="s">
        <v>609</v>
      </c>
      <c r="C19" s="257" t="s">
        <v>36</v>
      </c>
      <c r="D19" s="258">
        <v>58</v>
      </c>
      <c r="E19" s="259"/>
      <c r="F19" s="259"/>
      <c r="G19" s="260"/>
      <c r="H19" s="260">
        <v>0</v>
      </c>
      <c r="I19" s="260"/>
      <c r="J19" s="260"/>
      <c r="K19" s="260"/>
      <c r="L19" s="260"/>
      <c r="M19" s="260">
        <v>0</v>
      </c>
      <c r="N19" s="260"/>
      <c r="O19" s="260"/>
    </row>
    <row r="20" spans="1:15" s="7" customFormat="1" ht="26.25" customHeight="1">
      <c r="A20" s="307" t="s">
        <v>560</v>
      </c>
      <c r="B20" s="308"/>
      <c r="C20" s="308"/>
      <c r="D20" s="308"/>
      <c r="E20" s="308"/>
      <c r="F20" s="308"/>
      <c r="G20" s="308"/>
      <c r="H20" s="308"/>
      <c r="I20" s="308"/>
      <c r="J20" s="309"/>
      <c r="K20" s="42"/>
      <c r="L20" s="42"/>
      <c r="M20" s="243" t="s">
        <v>578</v>
      </c>
      <c r="N20" s="42"/>
      <c r="O20" s="42"/>
    </row>
    <row r="21" spans="1:15" s="7" customFormat="1">
      <c r="A21" s="144" t="s">
        <v>580</v>
      </c>
      <c r="B21" s="17" t="s">
        <v>610</v>
      </c>
      <c r="C21" s="248"/>
      <c r="D21" s="248"/>
      <c r="E21" s="197"/>
      <c r="F21" s="187"/>
      <c r="G21" s="187"/>
      <c r="H21" s="197"/>
      <c r="I21" s="188"/>
      <c r="J21" s="187"/>
      <c r="K21" s="187"/>
      <c r="L21" s="187"/>
      <c r="M21" s="187"/>
      <c r="N21" s="187"/>
      <c r="O21" s="187"/>
    </row>
    <row r="22" spans="1:15" s="7" customFormat="1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</row>
    <row r="23" spans="1:15" s="7" customFormat="1">
      <c r="A23" s="194" t="s">
        <v>5</v>
      </c>
      <c r="B23" s="207"/>
      <c r="C23" s="193"/>
      <c r="D23" s="134"/>
      <c r="E23" s="134"/>
      <c r="F23" s="134"/>
      <c r="G23" s="134"/>
      <c r="H23" s="275" t="s">
        <v>579</v>
      </c>
      <c r="I23" s="275"/>
      <c r="J23" s="275"/>
      <c r="K23" s="275"/>
      <c r="L23" s="275"/>
      <c r="M23" s="134"/>
      <c r="N23" s="134"/>
      <c r="O23" s="134"/>
    </row>
    <row r="24" spans="1:15" s="7" customFormat="1">
      <c r="A24" s="304" t="s">
        <v>561</v>
      </c>
      <c r="B24" s="304"/>
      <c r="C24" s="304"/>
      <c r="D24" s="134"/>
      <c r="E24" s="134"/>
      <c r="F24" s="134"/>
      <c r="G24" s="134"/>
      <c r="H24" s="245" t="s">
        <v>561</v>
      </c>
      <c r="I24" s="245"/>
      <c r="J24" s="245"/>
      <c r="K24" s="246"/>
      <c r="L24" s="246"/>
      <c r="M24" s="134"/>
      <c r="N24" s="134"/>
      <c r="O24" s="134"/>
    </row>
    <row r="26" spans="1:15">
      <c r="A26" s="134" t="s">
        <v>588</v>
      </c>
    </row>
    <row r="28" spans="1:15" ht="21" customHeight="1"/>
  </sheetData>
  <mergeCells count="16">
    <mergeCell ref="A8:B8"/>
    <mergeCell ref="A2:O2"/>
    <mergeCell ref="A3:O3"/>
    <mergeCell ref="A4:O4"/>
    <mergeCell ref="A6:B6"/>
    <mergeCell ref="A7:B7"/>
    <mergeCell ref="A24:C24"/>
    <mergeCell ref="J11:L11"/>
    <mergeCell ref="A13:A14"/>
    <mergeCell ref="B13:B14"/>
    <mergeCell ref="C13:C14"/>
    <mergeCell ref="D13:D14"/>
    <mergeCell ref="E13:J13"/>
    <mergeCell ref="K13:O13"/>
    <mergeCell ref="A20:J20"/>
    <mergeCell ref="H23:L23"/>
  </mergeCells>
  <pageMargins left="0.78740157480314965" right="0.70866141732283472" top="0.94488188976377963" bottom="0.74803149606299213" header="0.31496062992125984" footer="0.31496062992125984"/>
  <pageSetup scale="7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"/>
  <sheetViews>
    <sheetView tabSelected="1" workbookViewId="0">
      <selection activeCell="E28" sqref="E28"/>
    </sheetView>
  </sheetViews>
  <sheetFormatPr defaultRowHeight="12.75"/>
  <cols>
    <col min="2" max="2" width="24.28515625" customWidth="1"/>
  </cols>
  <sheetData>
    <row r="2" spans="1:15" ht="15">
      <c r="A2" s="288" t="s">
        <v>596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</row>
    <row r="3" spans="1:15" ht="15">
      <c r="A3" s="289" t="s">
        <v>585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</row>
    <row r="4" spans="1:15">
      <c r="A4" s="290" t="s">
        <v>554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</row>
    <row r="5" spans="1:1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>
      <c r="A6" s="275" t="s">
        <v>15</v>
      </c>
      <c r="B6" s="275"/>
      <c r="C6" s="205" t="s">
        <v>589</v>
      </c>
      <c r="D6" s="35"/>
      <c r="E6" s="35"/>
      <c r="F6" s="35"/>
      <c r="G6" s="35"/>
      <c r="H6" s="35"/>
      <c r="I6" s="35"/>
      <c r="J6" s="35"/>
      <c r="K6" s="35"/>
      <c r="L6" s="35"/>
      <c r="M6" s="17"/>
      <c r="N6" s="17"/>
      <c r="O6" s="17"/>
    </row>
    <row r="7" spans="1:15">
      <c r="A7" s="275" t="s">
        <v>555</v>
      </c>
      <c r="B7" s="275"/>
      <c r="C7" s="205" t="s">
        <v>594</v>
      </c>
      <c r="D7" s="35"/>
      <c r="E7" s="35"/>
      <c r="F7" s="35"/>
      <c r="G7" s="35"/>
      <c r="H7" s="35"/>
      <c r="I7" s="35"/>
      <c r="J7" s="35"/>
      <c r="K7" s="35"/>
      <c r="L7" s="35"/>
      <c r="M7" s="17"/>
      <c r="N7" s="17"/>
      <c r="O7" s="17"/>
    </row>
    <row r="8" spans="1:15">
      <c r="A8" s="275" t="s">
        <v>16</v>
      </c>
      <c r="B8" s="275"/>
      <c r="C8" s="205" t="s">
        <v>595</v>
      </c>
      <c r="D8" s="118"/>
      <c r="E8" s="118"/>
      <c r="F8" s="118"/>
      <c r="G8" s="17"/>
      <c r="H8" s="119"/>
      <c r="I8" s="17"/>
      <c r="J8" s="17"/>
      <c r="K8" s="17"/>
      <c r="L8" s="17"/>
      <c r="M8" s="17"/>
      <c r="N8" s="17"/>
      <c r="O8" s="17"/>
    </row>
    <row r="9" spans="1:15">
      <c r="A9" s="252"/>
      <c r="B9" s="252"/>
      <c r="C9" s="121"/>
      <c r="D9" s="121"/>
      <c r="E9" s="121"/>
      <c r="F9" s="120"/>
      <c r="G9" s="120"/>
      <c r="H9" s="119"/>
      <c r="I9" s="120"/>
      <c r="J9" s="120"/>
      <c r="K9" s="120"/>
      <c r="L9" s="120"/>
      <c r="M9" s="120"/>
      <c r="N9" s="120"/>
      <c r="O9" s="120"/>
    </row>
    <row r="10" spans="1:15">
      <c r="A10" s="35" t="s">
        <v>581</v>
      </c>
      <c r="B10" s="252"/>
      <c r="C10" s="122"/>
      <c r="D10" s="123"/>
      <c r="E10" s="120"/>
      <c r="F10" s="120"/>
      <c r="G10" s="49"/>
      <c r="H10" s="7"/>
      <c r="I10" s="36" t="s">
        <v>7</v>
      </c>
      <c r="J10" s="8">
        <f>O17</f>
        <v>0</v>
      </c>
      <c r="K10" s="7" t="s">
        <v>552</v>
      </c>
      <c r="L10" s="120"/>
      <c r="M10" s="120"/>
      <c r="N10" s="120"/>
      <c r="O10" s="120"/>
    </row>
    <row r="11" spans="1:15">
      <c r="A11" s="252"/>
      <c r="B11" s="252"/>
      <c r="C11" s="122"/>
      <c r="D11" s="123"/>
      <c r="E11" s="120"/>
      <c r="F11" s="120"/>
      <c r="G11" s="17"/>
      <c r="H11" s="17"/>
      <c r="I11" s="190" t="s">
        <v>2</v>
      </c>
      <c r="J11" s="275" t="s">
        <v>582</v>
      </c>
      <c r="K11" s="275"/>
      <c r="L11" s="275"/>
      <c r="M11" s="120"/>
      <c r="N11" s="120"/>
      <c r="O11" s="120"/>
    </row>
    <row r="12" spans="1:15" ht="13.5" thickBot="1">
      <c r="A12" s="35"/>
      <c r="B12" s="252"/>
      <c r="C12" s="121"/>
      <c r="D12" s="121"/>
      <c r="E12" s="189"/>
      <c r="F12" s="188"/>
      <c r="G12" s="189"/>
      <c r="H12" s="189"/>
      <c r="I12" s="189"/>
      <c r="J12" s="188"/>
      <c r="K12" s="188"/>
      <c r="L12" s="188"/>
      <c r="M12" s="188"/>
      <c r="N12" s="188"/>
      <c r="O12" s="188"/>
    </row>
    <row r="13" spans="1:15">
      <c r="A13" s="292" t="s">
        <v>19</v>
      </c>
      <c r="B13" s="294" t="s">
        <v>556</v>
      </c>
      <c r="C13" s="296" t="s">
        <v>546</v>
      </c>
      <c r="D13" s="296" t="s">
        <v>547</v>
      </c>
      <c r="E13" s="294" t="s">
        <v>23</v>
      </c>
      <c r="F13" s="294"/>
      <c r="G13" s="294"/>
      <c r="H13" s="294"/>
      <c r="I13" s="294"/>
      <c r="J13" s="294"/>
      <c r="K13" s="294" t="s">
        <v>24</v>
      </c>
      <c r="L13" s="294" t="s">
        <v>24</v>
      </c>
      <c r="M13" s="294"/>
      <c r="N13" s="294"/>
      <c r="O13" s="298"/>
    </row>
    <row r="14" spans="1:15" ht="66.75" thickBot="1">
      <c r="A14" s="293"/>
      <c r="B14" s="295"/>
      <c r="C14" s="297"/>
      <c r="D14" s="297"/>
      <c r="E14" s="253" t="s">
        <v>25</v>
      </c>
      <c r="F14" s="253" t="s">
        <v>548</v>
      </c>
      <c r="G14" s="253" t="s">
        <v>549</v>
      </c>
      <c r="H14" s="125" t="s">
        <v>557</v>
      </c>
      <c r="I14" s="253" t="s">
        <v>550</v>
      </c>
      <c r="J14" s="253" t="s">
        <v>553</v>
      </c>
      <c r="K14" s="253" t="s">
        <v>30</v>
      </c>
      <c r="L14" s="253" t="s">
        <v>551</v>
      </c>
      <c r="M14" s="253" t="s">
        <v>558</v>
      </c>
      <c r="N14" s="253" t="s">
        <v>550</v>
      </c>
      <c r="O14" s="126" t="s">
        <v>559</v>
      </c>
    </row>
    <row r="15" spans="1:15" ht="13.5" thickBot="1">
      <c r="A15" s="127">
        <v>1</v>
      </c>
      <c r="B15" s="128">
        <v>2</v>
      </c>
      <c r="C15" s="128">
        <v>3</v>
      </c>
      <c r="D15" s="128">
        <v>4</v>
      </c>
      <c r="E15" s="128">
        <v>5</v>
      </c>
      <c r="F15" s="128">
        <v>6</v>
      </c>
      <c r="G15" s="128">
        <v>7</v>
      </c>
      <c r="H15" s="128">
        <v>8</v>
      </c>
      <c r="I15" s="128">
        <v>9</v>
      </c>
      <c r="J15" s="128">
        <v>10</v>
      </c>
      <c r="K15" s="128">
        <v>11</v>
      </c>
      <c r="L15" s="128">
        <v>12</v>
      </c>
      <c r="M15" s="128">
        <v>13</v>
      </c>
      <c r="N15" s="128">
        <v>14</v>
      </c>
      <c r="O15" s="129">
        <v>15</v>
      </c>
    </row>
    <row r="16" spans="1:15" ht="94.5" customHeight="1">
      <c r="A16" s="263">
        <v>1</v>
      </c>
      <c r="B16" s="201" t="s">
        <v>611</v>
      </c>
      <c r="C16" s="202" t="s">
        <v>36</v>
      </c>
      <c r="D16" s="203">
        <v>70</v>
      </c>
      <c r="E16" s="196"/>
      <c r="F16" s="196"/>
      <c r="G16" s="191"/>
      <c r="H16" s="191">
        <v>0</v>
      </c>
      <c r="I16" s="192"/>
      <c r="J16" s="191"/>
      <c r="K16" s="191"/>
      <c r="L16" s="191"/>
      <c r="M16" s="191">
        <v>0</v>
      </c>
      <c r="N16" s="191"/>
      <c r="O16" s="191"/>
    </row>
    <row r="17" spans="1:15">
      <c r="A17" s="299" t="s">
        <v>574</v>
      </c>
      <c r="B17" s="300"/>
      <c r="C17" s="300"/>
      <c r="D17" s="300"/>
      <c r="E17" s="300"/>
      <c r="F17" s="300"/>
      <c r="G17" s="300"/>
      <c r="H17" s="300"/>
      <c r="I17" s="300"/>
      <c r="J17" s="301"/>
      <c r="K17" s="42"/>
      <c r="L17" s="42"/>
      <c r="M17" s="191">
        <v>0</v>
      </c>
      <c r="N17" s="42"/>
      <c r="O17" s="42"/>
    </row>
    <row r="18" spans="1:15">
      <c r="A18" s="144" t="s">
        <v>580</v>
      </c>
      <c r="B18" s="17" t="s">
        <v>612</v>
      </c>
      <c r="C18" s="248"/>
      <c r="D18" s="248"/>
      <c r="E18" s="249"/>
      <c r="F18" s="249"/>
      <c r="G18" s="249"/>
      <c r="H18" s="249"/>
      <c r="I18" s="249"/>
      <c r="J18" s="249"/>
      <c r="K18" s="188"/>
      <c r="L18" s="188"/>
      <c r="M18" s="250"/>
      <c r="N18" s="188"/>
      <c r="O18" s="188"/>
    </row>
    <row r="19" spans="1:15" ht="54.75" customHeight="1">
      <c r="A19" s="194" t="s">
        <v>5</v>
      </c>
      <c r="B19" s="206"/>
      <c r="C19" s="193"/>
      <c r="D19" s="134"/>
      <c r="E19" s="137"/>
      <c r="F19" s="137"/>
      <c r="G19" s="137"/>
      <c r="H19" s="252" t="s">
        <v>570</v>
      </c>
      <c r="I19" s="247"/>
      <c r="J19" s="190"/>
      <c r="K19" s="137"/>
      <c r="L19" s="137"/>
      <c r="M19" s="137"/>
      <c r="N19" s="137"/>
      <c r="O19" s="137"/>
    </row>
    <row r="20" spans="1:15">
      <c r="A20" s="291" t="s">
        <v>561</v>
      </c>
      <c r="B20" s="291"/>
      <c r="C20" s="291"/>
      <c r="D20" s="134"/>
      <c r="E20" s="137"/>
      <c r="F20" s="137"/>
      <c r="G20" s="137"/>
      <c r="H20" s="302" t="s">
        <v>561</v>
      </c>
      <c r="I20" s="302"/>
      <c r="J20" s="302"/>
      <c r="K20" s="303"/>
      <c r="L20" s="137"/>
      <c r="M20" s="137"/>
      <c r="N20" s="137"/>
      <c r="O20" s="137"/>
    </row>
    <row r="21" spans="1:15">
      <c r="A21" s="137"/>
      <c r="B21" s="137"/>
      <c r="C21" s="137"/>
      <c r="D21" s="134"/>
      <c r="E21" s="137"/>
      <c r="F21" s="137"/>
      <c r="G21" s="137"/>
      <c r="H21" s="137"/>
      <c r="I21" s="134"/>
      <c r="J21" s="137"/>
      <c r="K21" s="137"/>
      <c r="L21" s="137"/>
      <c r="M21" s="137"/>
      <c r="N21" s="137"/>
      <c r="O21" s="137"/>
    </row>
    <row r="22" spans="1:15">
      <c r="A22" s="137" t="s">
        <v>583</v>
      </c>
      <c r="B22" s="137"/>
      <c r="C22" s="137"/>
      <c r="D22" s="134"/>
      <c r="E22" s="137"/>
      <c r="F22" s="137"/>
      <c r="G22" s="137"/>
      <c r="H22" s="137"/>
      <c r="I22" s="134"/>
      <c r="J22" s="137"/>
      <c r="K22" s="137"/>
      <c r="L22" s="137"/>
      <c r="M22" s="137"/>
      <c r="N22" s="137"/>
      <c r="O22" s="137"/>
    </row>
    <row r="23" spans="1:15">
      <c r="A23" s="137"/>
      <c r="B23" s="137"/>
      <c r="C23" s="137"/>
      <c r="D23" s="134"/>
      <c r="E23" s="137"/>
      <c r="F23" s="137"/>
      <c r="G23" s="137"/>
      <c r="H23" s="137"/>
      <c r="I23" s="134"/>
      <c r="J23" s="137"/>
      <c r="K23" s="137"/>
      <c r="L23" s="137"/>
      <c r="M23" s="137"/>
      <c r="N23" s="137"/>
      <c r="O23" s="137"/>
    </row>
  </sheetData>
  <mergeCells count="16">
    <mergeCell ref="A8:B8"/>
    <mergeCell ref="A2:O2"/>
    <mergeCell ref="A3:O3"/>
    <mergeCell ref="A4:O4"/>
    <mergeCell ref="A6:B6"/>
    <mergeCell ref="A7:B7"/>
    <mergeCell ref="A17:J17"/>
    <mergeCell ref="A20:C20"/>
    <mergeCell ref="H20:K20"/>
    <mergeCell ref="J11:L11"/>
    <mergeCell ref="A13:A14"/>
    <mergeCell ref="B13:B14"/>
    <mergeCell ref="C13:C14"/>
    <mergeCell ref="D13:D14"/>
    <mergeCell ref="E13:J13"/>
    <mergeCell ref="K13:O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>
    <tabColor theme="9" tint="0.59999389629810485"/>
  </sheetPr>
  <dimension ref="A1:Q285"/>
  <sheetViews>
    <sheetView topLeftCell="A2" workbookViewId="0"/>
  </sheetViews>
  <sheetFormatPr defaultRowHeight="12.75" outlineLevelRow="1"/>
  <cols>
    <col min="1" max="1" width="10.5703125" customWidth="1"/>
    <col min="2" max="2" width="43" customWidth="1"/>
    <col min="3" max="3" width="6.85546875" customWidth="1"/>
    <col min="4" max="4" width="7.28515625" customWidth="1"/>
    <col min="5" max="5" width="6.85546875" style="137" customWidth="1"/>
    <col min="6" max="6" width="6.42578125" customWidth="1"/>
    <col min="7" max="7" width="7.5703125" customWidth="1"/>
    <col min="8" max="8" width="11.28515625" customWidth="1"/>
    <col min="9" max="9" width="8.85546875" customWidth="1"/>
    <col min="10" max="10" width="11.140625" customWidth="1"/>
    <col min="11" max="11" width="7.7109375" bestFit="1" customWidth="1"/>
    <col min="12" max="12" width="9.7109375" customWidth="1"/>
    <col min="13" max="13" width="11.28515625" customWidth="1"/>
    <col min="14" max="14" width="8.140625" customWidth="1"/>
    <col min="15" max="15" width="10.28515625" customWidth="1"/>
    <col min="17" max="17" width="10.28515625" bestFit="1" customWidth="1"/>
  </cols>
  <sheetData>
    <row r="1" spans="1:15" hidden="1" outlineLevel="1">
      <c r="F1">
        <v>3.8</v>
      </c>
      <c r="H1" t="s">
        <v>9</v>
      </c>
      <c r="I1" s="47">
        <v>0.08</v>
      </c>
    </row>
    <row r="2" spans="1:15" s="1" customFormat="1" ht="15.75" collapsed="1" thickBot="1">
      <c r="A2" s="320" t="s">
        <v>333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</row>
    <row r="3" spans="1:15" s="1" customFormat="1" ht="16.5" thickTop="1">
      <c r="A3" s="321" t="s">
        <v>106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</row>
    <row r="4" spans="1:15" s="1" customFormat="1">
      <c r="A4" s="7"/>
      <c r="B4" s="7"/>
      <c r="C4" s="7"/>
      <c r="D4" s="7"/>
      <c r="E4" s="7"/>
      <c r="F4" s="7"/>
      <c r="G4" s="7"/>
      <c r="H4" s="6"/>
      <c r="I4" s="7"/>
      <c r="J4" s="7"/>
      <c r="K4" s="7"/>
      <c r="L4" s="7"/>
      <c r="M4" s="7"/>
      <c r="N4" s="7"/>
      <c r="O4" s="7"/>
    </row>
    <row r="5" spans="1:15" s="1" customFormat="1">
      <c r="A5" s="311" t="s">
        <v>15</v>
      </c>
      <c r="B5" s="311"/>
      <c r="C5" s="311" t="e">
        <f>#REF!</f>
        <v>#REF!</v>
      </c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</row>
    <row r="6" spans="1:15" s="1" customFormat="1">
      <c r="A6" s="311" t="s">
        <v>16</v>
      </c>
      <c r="B6" s="311"/>
      <c r="C6" s="17" t="e">
        <f>#REF!</f>
        <v>#REF!</v>
      </c>
      <c r="D6" s="2"/>
      <c r="E6" s="17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s="1" customFormat="1">
      <c r="A7" s="311" t="s">
        <v>17</v>
      </c>
      <c r="B7" s="311"/>
      <c r="C7" s="1" t="e">
        <f>#REF!</f>
        <v>#REF!</v>
      </c>
      <c r="D7" s="2"/>
      <c r="E7" s="17"/>
      <c r="F7" s="2"/>
      <c r="G7" s="2"/>
      <c r="H7" s="3"/>
      <c r="I7" s="2"/>
      <c r="J7" s="2"/>
      <c r="K7" s="2"/>
      <c r="L7" s="2"/>
      <c r="M7" s="2"/>
      <c r="N7" s="2"/>
      <c r="O7" s="2"/>
    </row>
    <row r="8" spans="1:15" s="1" customFormat="1">
      <c r="A8" s="311" t="s">
        <v>18</v>
      </c>
      <c r="B8" s="311"/>
      <c r="C8" s="4" t="e">
        <f>#REF!</f>
        <v>#REF!</v>
      </c>
      <c r="D8" s="5"/>
      <c r="E8" s="120"/>
      <c r="F8" s="5"/>
      <c r="G8" s="5"/>
      <c r="H8" s="3"/>
      <c r="I8" s="5"/>
      <c r="J8" s="5"/>
      <c r="K8" s="5"/>
      <c r="L8" s="5"/>
      <c r="M8" s="5"/>
      <c r="N8" s="5"/>
      <c r="O8" s="5"/>
    </row>
    <row r="9" spans="1:15" s="1" customFormat="1">
      <c r="A9" s="33"/>
      <c r="B9" s="33"/>
      <c r="C9" s="4"/>
      <c r="D9" s="5"/>
      <c r="E9" s="120"/>
      <c r="F9" s="5"/>
      <c r="G9" s="5"/>
      <c r="H9" s="3"/>
      <c r="I9" s="5"/>
      <c r="J9" s="5"/>
      <c r="K9" s="5"/>
      <c r="L9" s="5"/>
      <c r="M9" s="5"/>
      <c r="N9" s="5"/>
      <c r="O9" s="5"/>
    </row>
    <row r="10" spans="1:15" s="1" customFormat="1">
      <c r="A10" s="33"/>
      <c r="B10" s="33"/>
      <c r="C10" s="25"/>
      <c r="D10" s="26"/>
      <c r="E10" s="120"/>
      <c r="F10" s="5"/>
      <c r="H10" s="7"/>
      <c r="I10" s="36" t="s">
        <v>7</v>
      </c>
      <c r="J10" s="8">
        <f>O277</f>
        <v>26570.849999999995</v>
      </c>
      <c r="K10" s="7" t="s">
        <v>6</v>
      </c>
      <c r="L10" s="5"/>
      <c r="M10" s="5"/>
      <c r="N10" s="5"/>
      <c r="O10" s="5"/>
    </row>
    <row r="11" spans="1:15" s="1" customFormat="1">
      <c r="A11" s="33"/>
      <c r="B11" s="33"/>
      <c r="C11" s="25"/>
      <c r="D11" s="26"/>
      <c r="E11" s="120"/>
      <c r="F11" s="5"/>
      <c r="G11" s="315" t="s">
        <v>2</v>
      </c>
      <c r="H11" s="315"/>
      <c r="I11" s="315"/>
      <c r="J11" s="316" t="e">
        <f>#REF!</f>
        <v>#REF!</v>
      </c>
      <c r="K11" s="316"/>
      <c r="L11" s="316"/>
      <c r="M11" s="5"/>
      <c r="N11" s="5"/>
      <c r="O11" s="5"/>
    </row>
    <row r="12" spans="1:15" s="1" customFormat="1">
      <c r="A12" s="33"/>
      <c r="B12" s="33"/>
      <c r="C12" s="25"/>
      <c r="D12" s="26"/>
      <c r="E12" s="120"/>
      <c r="F12" s="5"/>
      <c r="G12" s="5"/>
      <c r="H12" s="3"/>
      <c r="I12" s="5"/>
      <c r="J12" s="5"/>
      <c r="K12" s="5"/>
      <c r="L12" s="5"/>
      <c r="M12" s="5"/>
      <c r="N12" s="5"/>
      <c r="O12" s="5"/>
    </row>
    <row r="13" spans="1:15" s="1" customFormat="1" ht="13.5" thickBot="1">
      <c r="A13" s="34" t="s">
        <v>11</v>
      </c>
      <c r="B13" s="2"/>
      <c r="C13" s="2"/>
      <c r="D13" s="24"/>
      <c r="E13" s="17"/>
      <c r="F13" s="2"/>
      <c r="G13" s="2"/>
      <c r="H13" s="6"/>
      <c r="I13" s="7"/>
      <c r="J13" s="8"/>
      <c r="K13" s="7"/>
      <c r="M13" s="322"/>
      <c r="N13" s="322"/>
      <c r="O13" s="7"/>
    </row>
    <row r="14" spans="1:15" s="1" customFormat="1" ht="18.75" customHeight="1">
      <c r="A14" s="323" t="s">
        <v>19</v>
      </c>
      <c r="B14" s="325" t="s">
        <v>20</v>
      </c>
      <c r="C14" s="327" t="s">
        <v>21</v>
      </c>
      <c r="D14" s="327" t="s">
        <v>22</v>
      </c>
      <c r="E14" s="325" t="s">
        <v>23</v>
      </c>
      <c r="F14" s="325"/>
      <c r="G14" s="325"/>
      <c r="H14" s="325"/>
      <c r="I14" s="325"/>
      <c r="J14" s="325"/>
      <c r="K14" s="325" t="s">
        <v>24</v>
      </c>
      <c r="L14" s="325" t="s">
        <v>24</v>
      </c>
      <c r="M14" s="325"/>
      <c r="N14" s="325"/>
      <c r="O14" s="329"/>
    </row>
    <row r="15" spans="1:15" s="1" customFormat="1" ht="58.5" customHeight="1" thickBot="1">
      <c r="A15" s="324"/>
      <c r="B15" s="326"/>
      <c r="C15" s="328"/>
      <c r="D15" s="328"/>
      <c r="E15" s="124" t="s">
        <v>38</v>
      </c>
      <c r="F15" s="39" t="s">
        <v>26</v>
      </c>
      <c r="G15" s="39" t="s">
        <v>27</v>
      </c>
      <c r="H15" s="40" t="s">
        <v>28</v>
      </c>
      <c r="I15" s="39" t="s">
        <v>29</v>
      </c>
      <c r="J15" s="39" t="s">
        <v>37</v>
      </c>
      <c r="K15" s="39" t="s">
        <v>30</v>
      </c>
      <c r="L15" s="39" t="s">
        <v>31</v>
      </c>
      <c r="M15" s="39" t="s">
        <v>32</v>
      </c>
      <c r="N15" s="39" t="s">
        <v>29</v>
      </c>
      <c r="O15" s="41" t="s">
        <v>37</v>
      </c>
    </row>
    <row r="16" spans="1:15" s="9" customFormat="1" ht="15" customHeight="1" thickBot="1">
      <c r="A16" s="27">
        <v>1</v>
      </c>
      <c r="B16" s="27">
        <v>2</v>
      </c>
      <c r="C16" s="27">
        <v>3</v>
      </c>
      <c r="D16" s="27">
        <v>4</v>
      </c>
      <c r="E16" s="128">
        <v>5</v>
      </c>
      <c r="F16" s="27">
        <v>6</v>
      </c>
      <c r="G16" s="27">
        <v>7</v>
      </c>
      <c r="H16" s="27">
        <v>8</v>
      </c>
      <c r="I16" s="27">
        <v>9</v>
      </c>
      <c r="J16" s="27">
        <v>10</v>
      </c>
      <c r="K16" s="27">
        <v>11</v>
      </c>
      <c r="L16" s="27">
        <v>12</v>
      </c>
      <c r="M16" s="27">
        <v>13</v>
      </c>
      <c r="N16" s="27">
        <v>14</v>
      </c>
      <c r="O16" s="28">
        <v>15</v>
      </c>
    </row>
    <row r="17" spans="1:15" s="9" customFormat="1" ht="15" customHeight="1" thickBot="1">
      <c r="A17" s="312" t="s">
        <v>183</v>
      </c>
      <c r="B17" s="313"/>
      <c r="C17" s="313"/>
      <c r="D17" s="313"/>
      <c r="E17" s="313"/>
      <c r="F17" s="313"/>
      <c r="G17" s="313"/>
      <c r="H17" s="313"/>
      <c r="I17" s="313"/>
      <c r="J17" s="314"/>
      <c r="K17" s="53"/>
      <c r="L17" s="53"/>
      <c r="M17" s="53"/>
      <c r="N17" s="53"/>
      <c r="O17" s="60"/>
    </row>
    <row r="18" spans="1:15" s="9" customFormat="1" ht="15" customHeight="1" thickBot="1">
      <c r="A18" s="149"/>
      <c r="B18" s="317" t="s">
        <v>209</v>
      </c>
      <c r="C18" s="318"/>
      <c r="D18" s="318"/>
      <c r="E18" s="318"/>
      <c r="F18" s="318"/>
      <c r="G18" s="319"/>
      <c r="H18" s="149"/>
      <c r="I18" s="149"/>
      <c r="J18" s="149"/>
      <c r="K18" s="20"/>
      <c r="L18" s="20"/>
      <c r="M18" s="20"/>
      <c r="N18" s="20"/>
      <c r="O18" s="20"/>
    </row>
    <row r="19" spans="1:15" s="144" customFormat="1" ht="15" customHeight="1">
      <c r="A19" s="61" t="s">
        <v>184</v>
      </c>
      <c r="B19" s="62" t="s">
        <v>107</v>
      </c>
      <c r="C19" s="63" t="s">
        <v>43</v>
      </c>
      <c r="D19" s="63">
        <v>30</v>
      </c>
      <c r="E19" s="148">
        <v>0.2</v>
      </c>
      <c r="F19" s="138">
        <f t="shared" ref="F19:F57" si="0">$F$1</f>
        <v>3.8</v>
      </c>
      <c r="G19" s="138">
        <f>ROUND(E19*F19,2)</f>
        <v>0.76</v>
      </c>
      <c r="H19" s="138"/>
      <c r="I19" s="138">
        <f>ROUND(G19*$I$1,2)</f>
        <v>0.06</v>
      </c>
      <c r="J19" s="139">
        <f>SUM(G19:I19)</f>
        <v>0.82000000000000006</v>
      </c>
      <c r="K19" s="139">
        <f>ROUND(D19*E19,2)</f>
        <v>6</v>
      </c>
      <c r="L19" s="139">
        <f>ROUND(D19*G19,2)</f>
        <v>22.8</v>
      </c>
      <c r="M19" s="139">
        <f>ROUND(D19*H19,2)</f>
        <v>0</v>
      </c>
      <c r="N19" s="139">
        <f>ROUND(I19*D19,2)</f>
        <v>1.8</v>
      </c>
      <c r="O19" s="139">
        <f>SUM(L19:N19)</f>
        <v>24.6</v>
      </c>
    </row>
    <row r="20" spans="1:15" s="145" customFormat="1" ht="15" customHeight="1">
      <c r="A20" s="61" t="s">
        <v>185</v>
      </c>
      <c r="B20" s="62" t="s">
        <v>108</v>
      </c>
      <c r="C20" s="63" t="s">
        <v>43</v>
      </c>
      <c r="D20" s="63">
        <v>30</v>
      </c>
      <c r="E20" s="143">
        <v>0.1</v>
      </c>
      <c r="F20" s="138">
        <f t="shared" si="0"/>
        <v>3.8</v>
      </c>
      <c r="G20" s="138">
        <f t="shared" ref="G20:G31" si="1">ROUND(E20*F20,2)</f>
        <v>0.38</v>
      </c>
      <c r="H20" s="138"/>
      <c r="I20" s="138">
        <f t="shared" ref="I20:I31" si="2">ROUND(G20*$I$1,2)</f>
        <v>0.03</v>
      </c>
      <c r="J20" s="139">
        <f t="shared" ref="J20:J31" si="3">SUM(G20:I20)</f>
        <v>0.41000000000000003</v>
      </c>
      <c r="K20" s="140">
        <f t="shared" ref="K20:K31" si="4">ROUND(D20*E20,2)</f>
        <v>3</v>
      </c>
      <c r="L20" s="140">
        <f t="shared" ref="L20:L31" si="5">ROUND(D20*G20,2)</f>
        <v>11.4</v>
      </c>
      <c r="M20" s="140">
        <f t="shared" ref="M20:M31" si="6">ROUND(D20*H20,2)</f>
        <v>0</v>
      </c>
      <c r="N20" s="140">
        <f t="shared" ref="N20:N31" si="7">ROUND(I20*D20,2)</f>
        <v>0.9</v>
      </c>
      <c r="O20" s="140">
        <f>SUM(L20:N20)</f>
        <v>12.3</v>
      </c>
    </row>
    <row r="21" spans="1:15" s="145" customFormat="1" ht="15" customHeight="1">
      <c r="A21" s="61" t="s">
        <v>186</v>
      </c>
      <c r="B21" s="62" t="s">
        <v>196</v>
      </c>
      <c r="C21" s="63" t="s">
        <v>44</v>
      </c>
      <c r="D21" s="63">
        <v>0.65</v>
      </c>
      <c r="E21" s="143">
        <v>1.2</v>
      </c>
      <c r="F21" s="138">
        <f t="shared" si="0"/>
        <v>3.8</v>
      </c>
      <c r="G21" s="138">
        <f t="shared" si="1"/>
        <v>4.5599999999999996</v>
      </c>
      <c r="H21" s="138"/>
      <c r="I21" s="138">
        <f t="shared" si="2"/>
        <v>0.36</v>
      </c>
      <c r="J21" s="139">
        <f t="shared" si="3"/>
        <v>4.92</v>
      </c>
      <c r="K21" s="140">
        <f t="shared" si="4"/>
        <v>0.78</v>
      </c>
      <c r="L21" s="140">
        <f t="shared" si="5"/>
        <v>2.96</v>
      </c>
      <c r="M21" s="140">
        <f t="shared" si="6"/>
        <v>0</v>
      </c>
      <c r="N21" s="140">
        <f t="shared" si="7"/>
        <v>0.23</v>
      </c>
      <c r="O21" s="140">
        <f t="shared" ref="O21:O31" si="8">SUM(L21:N21)</f>
        <v>3.19</v>
      </c>
    </row>
    <row r="22" spans="1:15" s="145" customFormat="1" ht="51">
      <c r="A22" s="185" t="s">
        <v>187</v>
      </c>
      <c r="B22" s="62" t="s">
        <v>197</v>
      </c>
      <c r="C22" s="63" t="s">
        <v>33</v>
      </c>
      <c r="D22" s="63">
        <v>1</v>
      </c>
      <c r="E22" s="143">
        <v>16</v>
      </c>
      <c r="F22" s="138">
        <f t="shared" si="0"/>
        <v>3.8</v>
      </c>
      <c r="G22" s="138">
        <f t="shared" si="1"/>
        <v>60.8</v>
      </c>
      <c r="H22" s="138"/>
      <c r="I22" s="138">
        <f>ROUND(G22*$I$1,2)+110</f>
        <v>114.86</v>
      </c>
      <c r="J22" s="139">
        <f t="shared" si="3"/>
        <v>175.66</v>
      </c>
      <c r="K22" s="140">
        <f t="shared" si="4"/>
        <v>16</v>
      </c>
      <c r="L22" s="140">
        <f t="shared" si="5"/>
        <v>60.8</v>
      </c>
      <c r="M22" s="140">
        <f t="shared" si="6"/>
        <v>0</v>
      </c>
      <c r="N22" s="140">
        <f t="shared" si="7"/>
        <v>114.86</v>
      </c>
      <c r="O22" s="140">
        <f>SUM(L22:N22)</f>
        <v>175.66</v>
      </c>
    </row>
    <row r="23" spans="1:15" s="145" customFormat="1" ht="25.5">
      <c r="A23" s="185" t="s">
        <v>188</v>
      </c>
      <c r="B23" s="62" t="s">
        <v>198</v>
      </c>
      <c r="C23" s="63" t="s">
        <v>36</v>
      </c>
      <c r="D23" s="63">
        <v>45</v>
      </c>
      <c r="E23" s="143">
        <v>0.04</v>
      </c>
      <c r="F23" s="138">
        <f t="shared" si="0"/>
        <v>3.8</v>
      </c>
      <c r="G23" s="138">
        <f t="shared" si="1"/>
        <v>0.15</v>
      </c>
      <c r="H23" s="138"/>
      <c r="I23" s="138">
        <f t="shared" si="2"/>
        <v>0.01</v>
      </c>
      <c r="J23" s="139">
        <f t="shared" si="3"/>
        <v>0.16</v>
      </c>
      <c r="K23" s="140">
        <f t="shared" si="4"/>
        <v>1.8</v>
      </c>
      <c r="L23" s="140">
        <f t="shared" si="5"/>
        <v>6.75</v>
      </c>
      <c r="M23" s="140">
        <f t="shared" si="6"/>
        <v>0</v>
      </c>
      <c r="N23" s="140">
        <f t="shared" si="7"/>
        <v>0.45</v>
      </c>
      <c r="O23" s="140">
        <f t="shared" si="8"/>
        <v>7.2</v>
      </c>
    </row>
    <row r="24" spans="1:15" s="145" customFormat="1" ht="25.5">
      <c r="A24" s="185" t="s">
        <v>189</v>
      </c>
      <c r="B24" s="62" t="s">
        <v>199</v>
      </c>
      <c r="C24" s="63" t="s">
        <v>34</v>
      </c>
      <c r="D24" s="63">
        <v>5</v>
      </c>
      <c r="E24" s="186">
        <v>0.5</v>
      </c>
      <c r="F24" s="138">
        <f t="shared" si="0"/>
        <v>3.8</v>
      </c>
      <c r="G24" s="138">
        <f t="shared" si="1"/>
        <v>1.9</v>
      </c>
      <c r="H24" s="138"/>
      <c r="I24" s="138">
        <f t="shared" si="2"/>
        <v>0.15</v>
      </c>
      <c r="J24" s="139">
        <f t="shared" si="3"/>
        <v>2.0499999999999998</v>
      </c>
      <c r="K24" s="140">
        <f t="shared" si="4"/>
        <v>2.5</v>
      </c>
      <c r="L24" s="140">
        <f t="shared" si="5"/>
        <v>9.5</v>
      </c>
      <c r="M24" s="140">
        <f t="shared" si="6"/>
        <v>0</v>
      </c>
      <c r="N24" s="140">
        <f t="shared" si="7"/>
        <v>0.75</v>
      </c>
      <c r="O24" s="140">
        <f t="shared" si="8"/>
        <v>10.25</v>
      </c>
    </row>
    <row r="25" spans="1:15" s="145" customFormat="1" ht="25.5">
      <c r="A25" s="185" t="s">
        <v>190</v>
      </c>
      <c r="B25" s="62" t="s">
        <v>110</v>
      </c>
      <c r="C25" s="63" t="s">
        <v>44</v>
      </c>
      <c r="D25" s="63">
        <v>2.7</v>
      </c>
      <c r="E25" s="143">
        <v>1.39</v>
      </c>
      <c r="F25" s="138">
        <f t="shared" si="0"/>
        <v>3.8</v>
      </c>
      <c r="G25" s="138">
        <f t="shared" si="1"/>
        <v>5.28</v>
      </c>
      <c r="H25" s="138"/>
      <c r="I25" s="138">
        <f t="shared" si="2"/>
        <v>0.42</v>
      </c>
      <c r="J25" s="139">
        <f t="shared" si="3"/>
        <v>5.7</v>
      </c>
      <c r="K25" s="140">
        <f t="shared" si="4"/>
        <v>3.75</v>
      </c>
      <c r="L25" s="140">
        <f t="shared" si="5"/>
        <v>14.26</v>
      </c>
      <c r="M25" s="140">
        <f t="shared" si="6"/>
        <v>0</v>
      </c>
      <c r="N25" s="140">
        <f t="shared" si="7"/>
        <v>1.1299999999999999</v>
      </c>
      <c r="O25" s="140">
        <f>SUM(L25:N25)</f>
        <v>15.39</v>
      </c>
    </row>
    <row r="26" spans="1:15" s="145" customFormat="1" ht="15" customHeight="1">
      <c r="A26" s="185" t="s">
        <v>191</v>
      </c>
      <c r="B26" s="62" t="s">
        <v>200</v>
      </c>
      <c r="C26" s="63" t="s">
        <v>8</v>
      </c>
      <c r="D26" s="63">
        <v>0.66200000000000003</v>
      </c>
      <c r="E26" s="143">
        <v>1.65</v>
      </c>
      <c r="F26" s="138">
        <f t="shared" si="0"/>
        <v>3.8</v>
      </c>
      <c r="G26" s="138">
        <f t="shared" si="1"/>
        <v>6.27</v>
      </c>
      <c r="H26" s="138"/>
      <c r="I26" s="138">
        <f t="shared" si="2"/>
        <v>0.5</v>
      </c>
      <c r="J26" s="139">
        <f t="shared" si="3"/>
        <v>6.77</v>
      </c>
      <c r="K26" s="140">
        <f t="shared" si="4"/>
        <v>1.0900000000000001</v>
      </c>
      <c r="L26" s="140">
        <f t="shared" si="5"/>
        <v>4.1500000000000004</v>
      </c>
      <c r="M26" s="140">
        <f t="shared" si="6"/>
        <v>0</v>
      </c>
      <c r="N26" s="140">
        <f t="shared" si="7"/>
        <v>0.33</v>
      </c>
      <c r="O26" s="140">
        <f t="shared" si="8"/>
        <v>4.4800000000000004</v>
      </c>
    </row>
    <row r="27" spans="1:15" s="145" customFormat="1" ht="25.5">
      <c r="A27" s="185" t="s">
        <v>192</v>
      </c>
      <c r="B27" s="62" t="s">
        <v>201</v>
      </c>
      <c r="C27" s="63" t="s">
        <v>36</v>
      </c>
      <c r="D27" s="63">
        <v>22</v>
      </c>
      <c r="E27" s="143">
        <v>0.2</v>
      </c>
      <c r="F27" s="138">
        <f t="shared" si="0"/>
        <v>3.8</v>
      </c>
      <c r="G27" s="138">
        <f t="shared" si="1"/>
        <v>0.76</v>
      </c>
      <c r="H27" s="138"/>
      <c r="I27" s="138">
        <f t="shared" si="2"/>
        <v>0.06</v>
      </c>
      <c r="J27" s="139">
        <f t="shared" si="3"/>
        <v>0.82000000000000006</v>
      </c>
      <c r="K27" s="140">
        <f t="shared" si="4"/>
        <v>4.4000000000000004</v>
      </c>
      <c r="L27" s="140">
        <f t="shared" si="5"/>
        <v>16.72</v>
      </c>
      <c r="M27" s="140">
        <f t="shared" si="6"/>
        <v>0</v>
      </c>
      <c r="N27" s="140">
        <f t="shared" si="7"/>
        <v>1.32</v>
      </c>
      <c r="O27" s="140">
        <f t="shared" si="8"/>
        <v>18.04</v>
      </c>
    </row>
    <row r="28" spans="1:15" s="145" customFormat="1" ht="25.5">
      <c r="A28" s="185" t="s">
        <v>193</v>
      </c>
      <c r="B28" s="62" t="s">
        <v>202</v>
      </c>
      <c r="C28" s="63" t="s">
        <v>36</v>
      </c>
      <c r="D28" s="63">
        <v>53</v>
      </c>
      <c r="E28" s="143">
        <v>0.22</v>
      </c>
      <c r="F28" s="138">
        <f t="shared" si="0"/>
        <v>3.8</v>
      </c>
      <c r="G28" s="138">
        <f t="shared" si="1"/>
        <v>0.84</v>
      </c>
      <c r="H28" s="138"/>
      <c r="I28" s="138">
        <f t="shared" si="2"/>
        <v>7.0000000000000007E-2</v>
      </c>
      <c r="J28" s="139">
        <f t="shared" si="3"/>
        <v>0.90999999999999992</v>
      </c>
      <c r="K28" s="140">
        <f t="shared" si="4"/>
        <v>11.66</v>
      </c>
      <c r="L28" s="140">
        <f t="shared" si="5"/>
        <v>44.52</v>
      </c>
      <c r="M28" s="140">
        <f t="shared" si="6"/>
        <v>0</v>
      </c>
      <c r="N28" s="140">
        <f t="shared" si="7"/>
        <v>3.71</v>
      </c>
      <c r="O28" s="140">
        <f t="shared" si="8"/>
        <v>48.230000000000004</v>
      </c>
    </row>
    <row r="29" spans="1:15" s="145" customFormat="1">
      <c r="A29" s="185" t="s">
        <v>194</v>
      </c>
      <c r="B29" s="62" t="s">
        <v>203</v>
      </c>
      <c r="C29" s="63" t="s">
        <v>43</v>
      </c>
      <c r="D29" s="63">
        <v>60</v>
      </c>
      <c r="E29" s="143">
        <v>0.4</v>
      </c>
      <c r="F29" s="138">
        <f t="shared" si="0"/>
        <v>3.8</v>
      </c>
      <c r="G29" s="138">
        <f t="shared" si="1"/>
        <v>1.52</v>
      </c>
      <c r="H29" s="138"/>
      <c r="I29" s="138">
        <f t="shared" si="2"/>
        <v>0.12</v>
      </c>
      <c r="J29" s="139">
        <f t="shared" si="3"/>
        <v>1.6400000000000001</v>
      </c>
      <c r="K29" s="140">
        <f t="shared" si="4"/>
        <v>24</v>
      </c>
      <c r="L29" s="140">
        <f t="shared" si="5"/>
        <v>91.2</v>
      </c>
      <c r="M29" s="140">
        <f t="shared" si="6"/>
        <v>0</v>
      </c>
      <c r="N29" s="140">
        <f t="shared" si="7"/>
        <v>7.2</v>
      </c>
      <c r="O29" s="140">
        <f t="shared" si="8"/>
        <v>98.4</v>
      </c>
    </row>
    <row r="30" spans="1:15" s="145" customFormat="1" ht="15" customHeight="1">
      <c r="A30" s="185" t="s">
        <v>195</v>
      </c>
      <c r="B30" s="62" t="s">
        <v>204</v>
      </c>
      <c r="C30" s="63" t="s">
        <v>43</v>
      </c>
      <c r="D30" s="63">
        <v>2.2999999999999998</v>
      </c>
      <c r="E30" s="143">
        <v>1.1499999999999999</v>
      </c>
      <c r="F30" s="138">
        <f t="shared" si="0"/>
        <v>3.8</v>
      </c>
      <c r="G30" s="138">
        <f t="shared" si="1"/>
        <v>4.37</v>
      </c>
      <c r="H30" s="138"/>
      <c r="I30" s="138">
        <f t="shared" si="2"/>
        <v>0.35</v>
      </c>
      <c r="J30" s="139">
        <f t="shared" si="3"/>
        <v>4.72</v>
      </c>
      <c r="K30" s="140">
        <f t="shared" si="4"/>
        <v>2.65</v>
      </c>
      <c r="L30" s="140">
        <f t="shared" si="5"/>
        <v>10.050000000000001</v>
      </c>
      <c r="M30" s="140">
        <f t="shared" si="6"/>
        <v>0</v>
      </c>
      <c r="N30" s="140">
        <f t="shared" si="7"/>
        <v>0.81</v>
      </c>
      <c r="O30" s="140">
        <f t="shared" si="8"/>
        <v>10.860000000000001</v>
      </c>
    </row>
    <row r="31" spans="1:15" s="145" customFormat="1" ht="15" customHeight="1">
      <c r="A31" s="185" t="s">
        <v>220</v>
      </c>
      <c r="B31" s="62" t="s">
        <v>205</v>
      </c>
      <c r="C31" s="63" t="s">
        <v>43</v>
      </c>
      <c r="D31" s="63">
        <v>2.2000000000000002</v>
      </c>
      <c r="E31" s="143">
        <v>1.1499999999999999</v>
      </c>
      <c r="F31" s="138">
        <f t="shared" si="0"/>
        <v>3.8</v>
      </c>
      <c r="G31" s="138">
        <f t="shared" si="1"/>
        <v>4.37</v>
      </c>
      <c r="H31" s="138"/>
      <c r="I31" s="138">
        <f t="shared" si="2"/>
        <v>0.35</v>
      </c>
      <c r="J31" s="139">
        <f t="shared" si="3"/>
        <v>4.72</v>
      </c>
      <c r="K31" s="140">
        <f t="shared" si="4"/>
        <v>2.5299999999999998</v>
      </c>
      <c r="L31" s="140">
        <f t="shared" si="5"/>
        <v>9.61</v>
      </c>
      <c r="M31" s="140">
        <f t="shared" si="6"/>
        <v>0</v>
      </c>
      <c r="N31" s="140">
        <f t="shared" si="7"/>
        <v>0.77</v>
      </c>
      <c r="O31" s="140">
        <f t="shared" si="8"/>
        <v>10.379999999999999</v>
      </c>
    </row>
    <row r="32" spans="1:15" s="145" customFormat="1" ht="15" customHeight="1">
      <c r="A32" s="185" t="s">
        <v>221</v>
      </c>
      <c r="B32" s="62" t="s">
        <v>206</v>
      </c>
      <c r="C32" s="63" t="s">
        <v>43</v>
      </c>
      <c r="D32" s="63">
        <v>10</v>
      </c>
      <c r="E32" s="143">
        <v>0.25</v>
      </c>
      <c r="F32" s="138">
        <f t="shared" si="0"/>
        <v>3.8</v>
      </c>
      <c r="G32" s="138">
        <f>ROUND(E32*F32,2)</f>
        <v>0.95</v>
      </c>
      <c r="H32" s="138"/>
      <c r="I32" s="138">
        <f>ROUND(G32*$I$1,2)</f>
        <v>0.08</v>
      </c>
      <c r="J32" s="139">
        <f>SUM(G32:I32)</f>
        <v>1.03</v>
      </c>
      <c r="K32" s="140">
        <f>ROUND(D32*E32,2)</f>
        <v>2.5</v>
      </c>
      <c r="L32" s="140">
        <f>ROUND(D32*G32,2)</f>
        <v>9.5</v>
      </c>
      <c r="M32" s="140">
        <f>ROUND(D32*H32,2)</f>
        <v>0</v>
      </c>
      <c r="N32" s="140">
        <f>ROUND(I32*D32,2)</f>
        <v>0.8</v>
      </c>
      <c r="O32" s="140">
        <f>SUM(L32:N32)</f>
        <v>10.3</v>
      </c>
    </row>
    <row r="33" spans="1:15" s="145" customFormat="1" ht="15" customHeight="1">
      <c r="A33" s="185" t="s">
        <v>222</v>
      </c>
      <c r="B33" s="62" t="s">
        <v>111</v>
      </c>
      <c r="C33" s="63" t="s">
        <v>44</v>
      </c>
      <c r="D33" s="63">
        <v>3</v>
      </c>
      <c r="E33" s="143">
        <v>1.2</v>
      </c>
      <c r="F33" s="138">
        <f t="shared" si="0"/>
        <v>3.8</v>
      </c>
      <c r="G33" s="138">
        <f>ROUND(E33*F33,2)</f>
        <v>4.5599999999999996</v>
      </c>
      <c r="H33" s="138"/>
      <c r="I33" s="138">
        <f>ROUND(G33*$I$1,2)</f>
        <v>0.36</v>
      </c>
      <c r="J33" s="139">
        <f>SUM(G33:I33)</f>
        <v>4.92</v>
      </c>
      <c r="K33" s="140">
        <f>ROUND(D33*E33,2)</f>
        <v>3.6</v>
      </c>
      <c r="L33" s="140">
        <f>ROUND(D33*G33,2)</f>
        <v>13.68</v>
      </c>
      <c r="M33" s="140">
        <f>ROUND(D33*H33,2)</f>
        <v>0</v>
      </c>
      <c r="N33" s="140">
        <f>ROUND(I33*D33,2)</f>
        <v>1.08</v>
      </c>
      <c r="O33" s="140">
        <f>SUM(L33:N33)</f>
        <v>14.76</v>
      </c>
    </row>
    <row r="34" spans="1:15" s="145" customFormat="1" ht="15" customHeight="1">
      <c r="A34" s="185" t="s">
        <v>223</v>
      </c>
      <c r="B34" s="62" t="s">
        <v>112</v>
      </c>
      <c r="C34" s="63" t="s">
        <v>8</v>
      </c>
      <c r="D34" s="63">
        <v>32</v>
      </c>
      <c r="E34" s="143">
        <v>0.4</v>
      </c>
      <c r="F34" s="138">
        <f t="shared" si="0"/>
        <v>3.8</v>
      </c>
      <c r="G34" s="138">
        <f>ROUND(E34*F34,2)</f>
        <v>1.52</v>
      </c>
      <c r="H34" s="138"/>
      <c r="I34" s="138">
        <f>ROUND(G34*$I$1,2)</f>
        <v>0.12</v>
      </c>
      <c r="J34" s="139">
        <f>SUM(G34:I34)</f>
        <v>1.6400000000000001</v>
      </c>
      <c r="K34" s="140">
        <f>ROUND(D34*E34,2)</f>
        <v>12.8</v>
      </c>
      <c r="L34" s="140">
        <f>ROUND(D34*G34,2)</f>
        <v>48.64</v>
      </c>
      <c r="M34" s="140">
        <f>ROUND(D34*H34,2)</f>
        <v>0</v>
      </c>
      <c r="N34" s="140">
        <f>ROUND(I34*D34,2)</f>
        <v>3.84</v>
      </c>
      <c r="O34" s="140">
        <f>SUM(L34:N34)</f>
        <v>52.480000000000004</v>
      </c>
    </row>
    <row r="35" spans="1:15" s="145" customFormat="1">
      <c r="A35" s="185" t="s">
        <v>224</v>
      </c>
      <c r="B35" s="62" t="s">
        <v>207</v>
      </c>
      <c r="C35" s="63" t="s">
        <v>8</v>
      </c>
      <c r="D35" s="63">
        <v>32</v>
      </c>
      <c r="E35" s="143">
        <v>0.1</v>
      </c>
      <c r="F35" s="138">
        <f t="shared" si="0"/>
        <v>3.8</v>
      </c>
      <c r="G35" s="138">
        <f>ROUND(E35*F35,2)</f>
        <v>0.38</v>
      </c>
      <c r="H35" s="138"/>
      <c r="I35" s="138">
        <f>ROUND(G35*$I$1,2)+2</f>
        <v>2.0299999999999998</v>
      </c>
      <c r="J35" s="139">
        <f>SUM(G35:I35)</f>
        <v>2.4099999999999997</v>
      </c>
      <c r="K35" s="140">
        <f>ROUND(D35*E35,2)</f>
        <v>3.2</v>
      </c>
      <c r="L35" s="140">
        <f>ROUND(D35*G35,2)</f>
        <v>12.16</v>
      </c>
      <c r="M35" s="140">
        <f>ROUND(D35*H35,2)</f>
        <v>0</v>
      </c>
      <c r="N35" s="140">
        <f>ROUND(I35*D35,2)</f>
        <v>64.959999999999994</v>
      </c>
      <c r="O35" s="140">
        <f>SUM(L35:N35)</f>
        <v>77.11999999999999</v>
      </c>
    </row>
    <row r="36" spans="1:15" s="145" customFormat="1" ht="26.25" thickBot="1">
      <c r="A36" s="185" t="s">
        <v>225</v>
      </c>
      <c r="B36" s="62" t="s">
        <v>208</v>
      </c>
      <c r="C36" s="185" t="s">
        <v>217</v>
      </c>
      <c r="D36" s="185">
        <v>16</v>
      </c>
      <c r="E36" s="143">
        <v>0.1</v>
      </c>
      <c r="F36" s="138">
        <f t="shared" si="0"/>
        <v>3.8</v>
      </c>
      <c r="G36" s="138">
        <f>ROUND(E36*F36,2)</f>
        <v>0.38</v>
      </c>
      <c r="H36" s="138">
        <v>15.2</v>
      </c>
      <c r="I36" s="138">
        <f>ROUND(G36*$I$1,2)</f>
        <v>0.03</v>
      </c>
      <c r="J36" s="139">
        <f>SUM(G36:I36)</f>
        <v>15.61</v>
      </c>
      <c r="K36" s="140">
        <f>ROUND(D36*E36,2)</f>
        <v>1.6</v>
      </c>
      <c r="L36" s="140">
        <f>ROUND(D36*G36,2)</f>
        <v>6.08</v>
      </c>
      <c r="M36" s="140">
        <f>ROUND(D36*H36,2)</f>
        <v>243.2</v>
      </c>
      <c r="N36" s="140">
        <f>ROUND(I36*D36,2)</f>
        <v>0.48</v>
      </c>
      <c r="O36" s="140">
        <f>SUM(L36:N36)</f>
        <v>249.76</v>
      </c>
    </row>
    <row r="37" spans="1:15" s="9" customFormat="1" ht="13.5" thickBot="1">
      <c r="A37" s="61"/>
      <c r="B37" s="317" t="s">
        <v>210</v>
      </c>
      <c r="C37" s="318"/>
      <c r="D37" s="318"/>
      <c r="E37" s="318"/>
      <c r="F37" s="318"/>
      <c r="G37" s="319"/>
      <c r="H37" s="29"/>
      <c r="I37" s="29"/>
      <c r="J37" s="29"/>
      <c r="K37" s="29"/>
      <c r="L37" s="29"/>
      <c r="M37" s="29"/>
      <c r="N37" s="29"/>
      <c r="O37" s="29"/>
    </row>
    <row r="38" spans="1:15" s="9" customFormat="1" ht="15" customHeight="1" thickBot="1">
      <c r="A38" s="64" t="s">
        <v>226</v>
      </c>
      <c r="B38" s="65" t="s">
        <v>109</v>
      </c>
      <c r="C38" s="64" t="s">
        <v>36</v>
      </c>
      <c r="D38" s="64">
        <v>1</v>
      </c>
      <c r="E38" s="141">
        <v>0.3</v>
      </c>
      <c r="F38" s="138">
        <f t="shared" si="0"/>
        <v>3.8</v>
      </c>
      <c r="G38" s="138">
        <f>ROUND(E38*F38,2)</f>
        <v>1.1399999999999999</v>
      </c>
      <c r="H38" s="138"/>
      <c r="I38" s="138">
        <f>ROUND(G38*$I$1,2)+1.2</f>
        <v>1.29</v>
      </c>
      <c r="J38" s="139">
        <f>SUM(G38:I38)</f>
        <v>2.4299999999999997</v>
      </c>
      <c r="K38" s="140">
        <f>ROUND(D38*E38,2)</f>
        <v>0.3</v>
      </c>
      <c r="L38" s="140">
        <f>ROUND(D38*G38,2)</f>
        <v>1.1399999999999999</v>
      </c>
      <c r="M38" s="140">
        <f>ROUND(D38*H38,2)</f>
        <v>0</v>
      </c>
      <c r="N38" s="140">
        <f>ROUND(I38*D38,2)</f>
        <v>1.29</v>
      </c>
      <c r="O38" s="140">
        <f>SUM(L38:N38)</f>
        <v>2.4299999999999997</v>
      </c>
    </row>
    <row r="39" spans="1:15" s="9" customFormat="1" ht="15" customHeight="1" thickBot="1">
      <c r="A39" s="312" t="s">
        <v>212</v>
      </c>
      <c r="B39" s="313"/>
      <c r="C39" s="313"/>
      <c r="D39" s="313"/>
      <c r="E39" s="313"/>
      <c r="F39" s="313"/>
      <c r="G39" s="313"/>
      <c r="H39" s="313"/>
      <c r="I39" s="313"/>
      <c r="J39" s="314"/>
      <c r="K39" s="29"/>
      <c r="L39" s="29"/>
      <c r="M39" s="29"/>
      <c r="N39" s="29"/>
      <c r="O39" s="29"/>
    </row>
    <row r="40" spans="1:15" s="145" customFormat="1" ht="15" customHeight="1">
      <c r="A40" s="66" t="s">
        <v>227</v>
      </c>
      <c r="B40" s="62" t="s">
        <v>213</v>
      </c>
      <c r="C40" s="63" t="s">
        <v>214</v>
      </c>
      <c r="D40" s="63">
        <v>1</v>
      </c>
      <c r="E40" s="143">
        <v>8</v>
      </c>
      <c r="F40" s="138">
        <f t="shared" si="0"/>
        <v>3.8</v>
      </c>
      <c r="G40" s="138">
        <f>ROUND(E40*F40,2)</f>
        <v>30.4</v>
      </c>
      <c r="H40" s="138">
        <v>55</v>
      </c>
      <c r="I40" s="138">
        <f>ROUND(G40*$I$1,2)</f>
        <v>2.4300000000000002</v>
      </c>
      <c r="J40" s="139">
        <f>SUM(G40:I40)</f>
        <v>87.830000000000013</v>
      </c>
      <c r="K40" s="140">
        <f>ROUND(D40*E40,2)</f>
        <v>8</v>
      </c>
      <c r="L40" s="140">
        <f>ROUND(D40*G40,2)</f>
        <v>30.4</v>
      </c>
      <c r="M40" s="140">
        <f>ROUND(D40*H40,2)</f>
        <v>55</v>
      </c>
      <c r="N40" s="140">
        <f>ROUND(I40*D40,2)</f>
        <v>2.4300000000000002</v>
      </c>
      <c r="O40" s="140">
        <f>SUM(L40:N40)</f>
        <v>87.830000000000013</v>
      </c>
    </row>
    <row r="41" spans="1:15" s="9" customFormat="1" ht="15" customHeight="1">
      <c r="A41" s="66" t="s">
        <v>228</v>
      </c>
      <c r="B41" s="62" t="s">
        <v>211</v>
      </c>
      <c r="C41" s="63" t="s">
        <v>34</v>
      </c>
      <c r="D41" s="63">
        <v>1</v>
      </c>
      <c r="E41" s="143">
        <v>2</v>
      </c>
      <c r="F41" s="138">
        <f t="shared" si="0"/>
        <v>3.8</v>
      </c>
      <c r="G41" s="138">
        <f>ROUND(E41*F41,2)</f>
        <v>7.6</v>
      </c>
      <c r="H41" s="138"/>
      <c r="I41" s="138">
        <f>ROUND(G41*$I$1,2)</f>
        <v>0.61</v>
      </c>
      <c r="J41" s="139">
        <f>SUM(G41:I41)</f>
        <v>8.2099999999999991</v>
      </c>
      <c r="K41" s="140">
        <f>ROUND(D41*E41,2)</f>
        <v>2</v>
      </c>
      <c r="L41" s="140">
        <f>ROUND(D41*G41,2)</f>
        <v>7.6</v>
      </c>
      <c r="M41" s="140">
        <f>ROUND(D41*H41,2)</f>
        <v>0</v>
      </c>
      <c r="N41" s="140">
        <f>ROUND(I41*D41,2)</f>
        <v>0.61</v>
      </c>
      <c r="O41" s="140">
        <f>SUM(L41:N41)</f>
        <v>8.2099999999999991</v>
      </c>
    </row>
    <row r="42" spans="1:15" s="151" customFormat="1" ht="15" customHeight="1">
      <c r="A42" s="66" t="s">
        <v>229</v>
      </c>
      <c r="B42" s="67" t="s">
        <v>47</v>
      </c>
      <c r="C42" s="68" t="s">
        <v>34</v>
      </c>
      <c r="D42" s="68">
        <v>1</v>
      </c>
      <c r="E42" s="150"/>
      <c r="F42" s="152">
        <f t="shared" si="0"/>
        <v>3.8</v>
      </c>
      <c r="G42" s="152">
        <f t="shared" ref="G42:G50" si="9">ROUND(E42*F42,2)</f>
        <v>0</v>
      </c>
      <c r="H42" s="152">
        <v>22.8</v>
      </c>
      <c r="I42" s="152">
        <f t="shared" ref="I42:I50" si="10">ROUND(G42*$I$1,2)</f>
        <v>0</v>
      </c>
      <c r="J42" s="153">
        <f t="shared" ref="J42:J50" si="11">SUM(G42:I42)</f>
        <v>22.8</v>
      </c>
      <c r="K42" s="154">
        <f t="shared" ref="K42:K50" si="12">ROUND(D42*E42,2)</f>
        <v>0</v>
      </c>
      <c r="L42" s="154">
        <f t="shared" ref="L42:L50" si="13">ROUND(D42*G42,2)</f>
        <v>0</v>
      </c>
      <c r="M42" s="154">
        <f t="shared" ref="M42:M50" si="14">ROUND(D42*H42,2)</f>
        <v>22.8</v>
      </c>
      <c r="N42" s="154">
        <f t="shared" ref="N42:N50" si="15">ROUND(I42*D42,2)</f>
        <v>0</v>
      </c>
      <c r="O42" s="154">
        <f t="shared" ref="O42:O50" si="16">SUM(L42:N42)</f>
        <v>22.8</v>
      </c>
    </row>
    <row r="43" spans="1:15" s="151" customFormat="1" ht="15" customHeight="1">
      <c r="A43" s="66" t="s">
        <v>230</v>
      </c>
      <c r="B43" s="67" t="s">
        <v>48</v>
      </c>
      <c r="C43" s="68" t="s">
        <v>33</v>
      </c>
      <c r="D43" s="68">
        <v>1</v>
      </c>
      <c r="E43" s="150"/>
      <c r="F43" s="152">
        <f t="shared" si="0"/>
        <v>3.8</v>
      </c>
      <c r="G43" s="152">
        <f t="shared" si="9"/>
        <v>0</v>
      </c>
      <c r="H43" s="152">
        <v>12</v>
      </c>
      <c r="I43" s="152">
        <f t="shared" si="10"/>
        <v>0</v>
      </c>
      <c r="J43" s="153">
        <f t="shared" si="11"/>
        <v>12</v>
      </c>
      <c r="K43" s="154">
        <f t="shared" si="12"/>
        <v>0</v>
      </c>
      <c r="L43" s="154">
        <f t="shared" si="13"/>
        <v>0</v>
      </c>
      <c r="M43" s="154">
        <f t="shared" si="14"/>
        <v>12</v>
      </c>
      <c r="N43" s="154">
        <f t="shared" si="15"/>
        <v>0</v>
      </c>
      <c r="O43" s="154">
        <f t="shared" si="16"/>
        <v>12</v>
      </c>
    </row>
    <row r="44" spans="1:15" s="9" customFormat="1" ht="15" customHeight="1">
      <c r="A44" s="66" t="s">
        <v>231</v>
      </c>
      <c r="B44" s="62" t="s">
        <v>113</v>
      </c>
      <c r="C44" s="63" t="s">
        <v>42</v>
      </c>
      <c r="D44" s="63">
        <v>1</v>
      </c>
      <c r="E44" s="143">
        <v>1</v>
      </c>
      <c r="F44" s="138">
        <f t="shared" si="0"/>
        <v>3.8</v>
      </c>
      <c r="G44" s="138">
        <f t="shared" si="9"/>
        <v>3.8</v>
      </c>
      <c r="H44" s="138"/>
      <c r="I44" s="138">
        <f t="shared" si="10"/>
        <v>0.3</v>
      </c>
      <c r="J44" s="139">
        <f t="shared" si="11"/>
        <v>4.0999999999999996</v>
      </c>
      <c r="K44" s="140">
        <f t="shared" si="12"/>
        <v>1</v>
      </c>
      <c r="L44" s="140">
        <f t="shared" si="13"/>
        <v>3.8</v>
      </c>
      <c r="M44" s="140">
        <f t="shared" si="14"/>
        <v>0</v>
      </c>
      <c r="N44" s="140">
        <f t="shared" si="15"/>
        <v>0.3</v>
      </c>
      <c r="O44" s="140">
        <f t="shared" si="16"/>
        <v>4.0999999999999996</v>
      </c>
    </row>
    <row r="45" spans="1:15" s="151" customFormat="1" ht="15" customHeight="1">
      <c r="A45" s="66" t="s">
        <v>232</v>
      </c>
      <c r="B45" s="67" t="s">
        <v>215</v>
      </c>
      <c r="C45" s="68" t="s">
        <v>34</v>
      </c>
      <c r="D45" s="68">
        <v>1</v>
      </c>
      <c r="E45" s="150"/>
      <c r="F45" s="152">
        <f t="shared" si="0"/>
        <v>3.8</v>
      </c>
      <c r="G45" s="152">
        <f t="shared" si="9"/>
        <v>0</v>
      </c>
      <c r="H45" s="152">
        <v>4.5</v>
      </c>
      <c r="I45" s="152">
        <f t="shared" si="10"/>
        <v>0</v>
      </c>
      <c r="J45" s="153">
        <f t="shared" si="11"/>
        <v>4.5</v>
      </c>
      <c r="K45" s="154">
        <f t="shared" si="12"/>
        <v>0</v>
      </c>
      <c r="L45" s="154">
        <f t="shared" si="13"/>
        <v>0</v>
      </c>
      <c r="M45" s="154">
        <f t="shared" si="14"/>
        <v>4.5</v>
      </c>
      <c r="N45" s="154">
        <f t="shared" si="15"/>
        <v>0</v>
      </c>
      <c r="O45" s="154">
        <f t="shared" si="16"/>
        <v>4.5</v>
      </c>
    </row>
    <row r="46" spans="1:15" s="151" customFormat="1" ht="15" customHeight="1">
      <c r="A46" s="66" t="s">
        <v>233</v>
      </c>
      <c r="B46" s="155" t="s">
        <v>216</v>
      </c>
      <c r="C46" s="68" t="s">
        <v>34</v>
      </c>
      <c r="D46" s="68">
        <v>1</v>
      </c>
      <c r="E46" s="150"/>
      <c r="F46" s="152"/>
      <c r="G46" s="152"/>
      <c r="H46" s="152">
        <v>2.2000000000000002</v>
      </c>
      <c r="I46" s="152"/>
      <c r="J46" s="153"/>
      <c r="K46" s="154">
        <f t="shared" si="12"/>
        <v>0</v>
      </c>
      <c r="L46" s="154"/>
      <c r="M46" s="154">
        <f t="shared" si="14"/>
        <v>2.2000000000000002</v>
      </c>
      <c r="N46" s="154"/>
      <c r="O46" s="154">
        <f t="shared" si="16"/>
        <v>2.2000000000000002</v>
      </c>
    </row>
    <row r="47" spans="1:15" s="151" customFormat="1" ht="15" customHeight="1">
      <c r="A47" s="66" t="s">
        <v>234</v>
      </c>
      <c r="B47" s="67" t="s">
        <v>10</v>
      </c>
      <c r="C47" s="68" t="s">
        <v>36</v>
      </c>
      <c r="D47" s="68">
        <v>1</v>
      </c>
      <c r="E47" s="150"/>
      <c r="F47" s="152">
        <f t="shared" si="0"/>
        <v>3.8</v>
      </c>
      <c r="G47" s="152">
        <f t="shared" si="9"/>
        <v>0</v>
      </c>
      <c r="H47" s="152">
        <v>0.4</v>
      </c>
      <c r="I47" s="152">
        <f t="shared" si="10"/>
        <v>0</v>
      </c>
      <c r="J47" s="153">
        <f t="shared" si="11"/>
        <v>0.4</v>
      </c>
      <c r="K47" s="154">
        <f t="shared" si="12"/>
        <v>0</v>
      </c>
      <c r="L47" s="154">
        <f t="shared" si="13"/>
        <v>0</v>
      </c>
      <c r="M47" s="154">
        <f t="shared" si="14"/>
        <v>0.4</v>
      </c>
      <c r="N47" s="154">
        <f t="shared" si="15"/>
        <v>0</v>
      </c>
      <c r="O47" s="154">
        <f t="shared" si="16"/>
        <v>0.4</v>
      </c>
    </row>
    <row r="48" spans="1:15" s="9" customFormat="1" ht="25.5">
      <c r="A48" s="66" t="s">
        <v>235</v>
      </c>
      <c r="B48" s="62" t="s">
        <v>218</v>
      </c>
      <c r="C48" s="63" t="s">
        <v>43</v>
      </c>
      <c r="D48" s="63">
        <f>4*15</f>
        <v>60</v>
      </c>
      <c r="E48" s="143">
        <v>0.2</v>
      </c>
      <c r="F48" s="138">
        <f t="shared" si="0"/>
        <v>3.8</v>
      </c>
      <c r="G48" s="138">
        <f>ROUND(E48*F48,2)</f>
        <v>0.76</v>
      </c>
      <c r="H48" s="138"/>
      <c r="I48" s="138">
        <f>ROUND(G48*$I$1,2)+1.1</f>
        <v>1.1600000000000001</v>
      </c>
      <c r="J48" s="139">
        <f>SUM(G48:I48)</f>
        <v>1.9200000000000002</v>
      </c>
      <c r="K48" s="140">
        <f>ROUND(D48*E48,2)</f>
        <v>12</v>
      </c>
      <c r="L48" s="140">
        <f>ROUND(D48*G48,2)</f>
        <v>45.6</v>
      </c>
      <c r="M48" s="140">
        <f>ROUND(D48*H48,2)</f>
        <v>0</v>
      </c>
      <c r="N48" s="140">
        <f>ROUND(I48*D48,2)</f>
        <v>69.599999999999994</v>
      </c>
      <c r="O48" s="140">
        <f>SUM(L48:N48)</f>
        <v>115.19999999999999</v>
      </c>
    </row>
    <row r="49" spans="1:15" s="151" customFormat="1" ht="15" customHeight="1">
      <c r="A49" s="66" t="s">
        <v>236</v>
      </c>
      <c r="B49" s="67" t="s">
        <v>219</v>
      </c>
      <c r="C49" s="68"/>
      <c r="D49" s="68">
        <f>D48*0.25</f>
        <v>15</v>
      </c>
      <c r="E49" s="150"/>
      <c r="F49" s="152"/>
      <c r="G49" s="152"/>
      <c r="H49" s="152">
        <v>11</v>
      </c>
      <c r="I49" s="152">
        <f>ROUND(G49*$I$1,2)</f>
        <v>0</v>
      </c>
      <c r="J49" s="153">
        <f>SUM(G49:I49)</f>
        <v>11</v>
      </c>
      <c r="K49" s="154">
        <f>ROUND(D49*E49,2)</f>
        <v>0</v>
      </c>
      <c r="L49" s="154">
        <f>ROUND(D49*G49,2)</f>
        <v>0</v>
      </c>
      <c r="M49" s="154">
        <f>ROUND(D49*H49,2)</f>
        <v>165</v>
      </c>
      <c r="N49" s="154">
        <f>ROUND(I49*D49,2)</f>
        <v>0</v>
      </c>
      <c r="O49" s="154">
        <f>SUM(L49:N49)</f>
        <v>165</v>
      </c>
    </row>
    <row r="50" spans="1:15" s="151" customFormat="1" ht="15" customHeight="1" thickBot="1">
      <c r="A50" s="66" t="s">
        <v>237</v>
      </c>
      <c r="B50" s="67" t="s">
        <v>35</v>
      </c>
      <c r="C50" s="68" t="s">
        <v>33</v>
      </c>
      <c r="D50" s="68">
        <v>1</v>
      </c>
      <c r="E50" s="150"/>
      <c r="F50" s="152"/>
      <c r="G50" s="152">
        <f t="shared" si="9"/>
        <v>0</v>
      </c>
      <c r="H50" s="152">
        <v>55</v>
      </c>
      <c r="I50" s="152">
        <f t="shared" si="10"/>
        <v>0</v>
      </c>
      <c r="J50" s="153">
        <f t="shared" si="11"/>
        <v>55</v>
      </c>
      <c r="K50" s="154">
        <f t="shared" si="12"/>
        <v>0</v>
      </c>
      <c r="L50" s="154">
        <f t="shared" si="13"/>
        <v>0</v>
      </c>
      <c r="M50" s="154">
        <f t="shared" si="14"/>
        <v>55</v>
      </c>
      <c r="N50" s="154">
        <f t="shared" si="15"/>
        <v>0</v>
      </c>
      <c r="O50" s="154">
        <f t="shared" si="16"/>
        <v>55</v>
      </c>
    </row>
    <row r="51" spans="1:15" s="9" customFormat="1" ht="15" customHeight="1" thickBot="1">
      <c r="A51" s="312" t="s">
        <v>238</v>
      </c>
      <c r="B51" s="313"/>
      <c r="C51" s="313"/>
      <c r="D51" s="313"/>
      <c r="E51" s="313"/>
      <c r="F51" s="313"/>
      <c r="G51" s="313"/>
      <c r="H51" s="313"/>
      <c r="I51" s="313"/>
      <c r="J51" s="314"/>
      <c r="K51" s="29"/>
      <c r="L51" s="29"/>
      <c r="M51" s="29"/>
      <c r="N51" s="29"/>
      <c r="O51" s="29"/>
    </row>
    <row r="52" spans="1:15" s="9" customFormat="1" ht="25.5">
      <c r="A52" s="66" t="s">
        <v>334</v>
      </c>
      <c r="B52" s="62" t="s">
        <v>239</v>
      </c>
      <c r="C52" s="63" t="s">
        <v>33</v>
      </c>
      <c r="D52" s="63">
        <v>1</v>
      </c>
      <c r="E52" s="143">
        <v>16</v>
      </c>
      <c r="F52" s="138">
        <f t="shared" si="0"/>
        <v>3.8</v>
      </c>
      <c r="G52" s="138">
        <f>ROUND(E52*F52,2)</f>
        <v>60.8</v>
      </c>
      <c r="H52" s="138"/>
      <c r="I52" s="138">
        <f>ROUND(G52*$I$1,2)+80</f>
        <v>84.86</v>
      </c>
      <c r="J52" s="139">
        <f t="shared" ref="J52:J58" si="17">SUM(G52:I52)</f>
        <v>145.66</v>
      </c>
      <c r="K52" s="140">
        <f t="shared" ref="K52:K58" si="18">ROUND(D52*E52,2)</f>
        <v>16</v>
      </c>
      <c r="L52" s="140">
        <f t="shared" ref="L52:L58" si="19">ROUND(D52*G52,2)</f>
        <v>60.8</v>
      </c>
      <c r="M52" s="140">
        <f t="shared" ref="M52:M58" si="20">ROUND(D52*H52,2)</f>
        <v>0</v>
      </c>
      <c r="N52" s="140">
        <f t="shared" ref="N52:N58" si="21">ROUND(I52*D52,2)</f>
        <v>84.86</v>
      </c>
      <c r="O52" s="140">
        <f t="shared" ref="O52:O58" si="22">SUM(L52:N52)</f>
        <v>145.66</v>
      </c>
    </row>
    <row r="53" spans="1:15" s="151" customFormat="1" ht="76.5">
      <c r="A53" s="66" t="s">
        <v>335</v>
      </c>
      <c r="B53" s="67" t="s">
        <v>114</v>
      </c>
      <c r="C53" s="68" t="s">
        <v>33</v>
      </c>
      <c r="D53" s="68">
        <v>1</v>
      </c>
      <c r="E53" s="150"/>
      <c r="F53" s="152"/>
      <c r="G53" s="152"/>
      <c r="H53" s="152">
        <v>12600</v>
      </c>
      <c r="I53" s="152">
        <f t="shared" ref="I53:I58" si="23">ROUND(G53*$I$1,2)</f>
        <v>0</v>
      </c>
      <c r="J53" s="153">
        <f t="shared" si="17"/>
        <v>12600</v>
      </c>
      <c r="K53" s="154">
        <f t="shared" si="18"/>
        <v>0</v>
      </c>
      <c r="L53" s="154">
        <f t="shared" si="19"/>
        <v>0</v>
      </c>
      <c r="M53" s="154">
        <f t="shared" si="20"/>
        <v>12600</v>
      </c>
      <c r="N53" s="154">
        <f t="shared" si="21"/>
        <v>0</v>
      </c>
      <c r="O53" s="154">
        <f t="shared" si="22"/>
        <v>12600</v>
      </c>
    </row>
    <row r="54" spans="1:15" s="9" customFormat="1" ht="15" customHeight="1">
      <c r="A54" s="66" t="s">
        <v>336</v>
      </c>
      <c r="B54" s="71" t="s">
        <v>115</v>
      </c>
      <c r="C54" s="10" t="s">
        <v>34</v>
      </c>
      <c r="D54" s="10">
        <v>3</v>
      </c>
      <c r="E54" s="141">
        <v>1.22</v>
      </c>
      <c r="F54" s="138">
        <f t="shared" si="0"/>
        <v>3.8</v>
      </c>
      <c r="G54" s="138">
        <f>ROUND(E54*F54,2)</f>
        <v>4.6399999999999997</v>
      </c>
      <c r="H54" s="138"/>
      <c r="I54" s="138">
        <f t="shared" si="23"/>
        <v>0.37</v>
      </c>
      <c r="J54" s="139">
        <f t="shared" si="17"/>
        <v>5.01</v>
      </c>
      <c r="K54" s="140">
        <f t="shared" si="18"/>
        <v>3.66</v>
      </c>
      <c r="L54" s="140">
        <f t="shared" si="19"/>
        <v>13.92</v>
      </c>
      <c r="M54" s="140">
        <f t="shared" si="20"/>
        <v>0</v>
      </c>
      <c r="N54" s="140">
        <f t="shared" si="21"/>
        <v>1.1100000000000001</v>
      </c>
      <c r="O54" s="140">
        <f t="shared" si="22"/>
        <v>15.03</v>
      </c>
    </row>
    <row r="55" spans="1:15" s="9" customFormat="1" ht="15" customHeight="1">
      <c r="A55" s="66" t="s">
        <v>337</v>
      </c>
      <c r="B55" s="12" t="s">
        <v>49</v>
      </c>
      <c r="C55" s="68" t="s">
        <v>34</v>
      </c>
      <c r="D55" s="68">
        <v>3</v>
      </c>
      <c r="E55" s="141"/>
      <c r="F55" s="152"/>
      <c r="G55" s="152"/>
      <c r="H55" s="152">
        <v>4.5</v>
      </c>
      <c r="I55" s="152">
        <f t="shared" si="23"/>
        <v>0</v>
      </c>
      <c r="J55" s="153">
        <f t="shared" si="17"/>
        <v>4.5</v>
      </c>
      <c r="K55" s="154">
        <f t="shared" si="18"/>
        <v>0</v>
      </c>
      <c r="L55" s="154">
        <f t="shared" si="19"/>
        <v>0</v>
      </c>
      <c r="M55" s="154">
        <f t="shared" si="20"/>
        <v>13.5</v>
      </c>
      <c r="N55" s="154">
        <f t="shared" si="21"/>
        <v>0</v>
      </c>
      <c r="O55" s="154">
        <f t="shared" si="22"/>
        <v>13.5</v>
      </c>
    </row>
    <row r="56" spans="1:15" s="9" customFormat="1" ht="15" customHeight="1">
      <c r="A56" s="66" t="s">
        <v>338</v>
      </c>
      <c r="B56" s="12" t="s">
        <v>240</v>
      </c>
      <c r="C56" s="68" t="s">
        <v>36</v>
      </c>
      <c r="D56" s="68">
        <v>75</v>
      </c>
      <c r="E56" s="141"/>
      <c r="F56" s="152"/>
      <c r="G56" s="152"/>
      <c r="H56" s="152">
        <v>0.52</v>
      </c>
      <c r="I56" s="152">
        <f t="shared" si="23"/>
        <v>0</v>
      </c>
      <c r="J56" s="153">
        <f t="shared" si="17"/>
        <v>0.52</v>
      </c>
      <c r="K56" s="154">
        <f t="shared" si="18"/>
        <v>0</v>
      </c>
      <c r="L56" s="154">
        <f t="shared" si="19"/>
        <v>0</v>
      </c>
      <c r="M56" s="154">
        <f t="shared" si="20"/>
        <v>39</v>
      </c>
      <c r="N56" s="154">
        <f t="shared" si="21"/>
        <v>0</v>
      </c>
      <c r="O56" s="154">
        <f t="shared" si="22"/>
        <v>39</v>
      </c>
    </row>
    <row r="57" spans="1:15" s="9" customFormat="1" ht="25.5">
      <c r="A57" s="66" t="s">
        <v>339</v>
      </c>
      <c r="B57" s="11" t="s">
        <v>116</v>
      </c>
      <c r="C57" s="10" t="s">
        <v>36</v>
      </c>
      <c r="D57" s="51">
        <f>D58+D59</f>
        <v>33</v>
      </c>
      <c r="E57" s="143">
        <v>1.5</v>
      </c>
      <c r="F57" s="138">
        <f t="shared" si="0"/>
        <v>3.8</v>
      </c>
      <c r="G57" s="138">
        <f>ROUND(E57*F57,2)</f>
        <v>5.7</v>
      </c>
      <c r="H57" s="138"/>
      <c r="I57" s="138">
        <f t="shared" si="23"/>
        <v>0.46</v>
      </c>
      <c r="J57" s="139">
        <f t="shared" si="17"/>
        <v>6.16</v>
      </c>
      <c r="K57" s="140">
        <f t="shared" si="18"/>
        <v>49.5</v>
      </c>
      <c r="L57" s="140">
        <f t="shared" si="19"/>
        <v>188.1</v>
      </c>
      <c r="M57" s="140">
        <f t="shared" si="20"/>
        <v>0</v>
      </c>
      <c r="N57" s="140">
        <f t="shared" si="21"/>
        <v>15.18</v>
      </c>
      <c r="O57" s="140">
        <f t="shared" si="22"/>
        <v>203.28</v>
      </c>
    </row>
    <row r="58" spans="1:15" s="9" customFormat="1" ht="15" customHeight="1">
      <c r="A58" s="66" t="s">
        <v>340</v>
      </c>
      <c r="B58" s="12" t="s">
        <v>50</v>
      </c>
      <c r="C58" s="68" t="s">
        <v>36</v>
      </c>
      <c r="D58" s="72">
        <v>30.1</v>
      </c>
      <c r="E58" s="141"/>
      <c r="F58" s="152"/>
      <c r="G58" s="152"/>
      <c r="H58" s="152">
        <v>16.79</v>
      </c>
      <c r="I58" s="152">
        <f t="shared" si="23"/>
        <v>0</v>
      </c>
      <c r="J58" s="153">
        <f t="shared" si="17"/>
        <v>16.79</v>
      </c>
      <c r="K58" s="154">
        <f t="shared" si="18"/>
        <v>0</v>
      </c>
      <c r="L58" s="154">
        <f t="shared" si="19"/>
        <v>0</v>
      </c>
      <c r="M58" s="154">
        <f t="shared" si="20"/>
        <v>505.38</v>
      </c>
      <c r="N58" s="154">
        <f t="shared" si="21"/>
        <v>0</v>
      </c>
      <c r="O58" s="154">
        <f t="shared" si="22"/>
        <v>505.38</v>
      </c>
    </row>
    <row r="59" spans="1:15" s="9" customFormat="1" ht="15" customHeight="1">
      <c r="A59" s="66" t="s">
        <v>341</v>
      </c>
      <c r="B59" s="12" t="s">
        <v>51</v>
      </c>
      <c r="C59" s="68" t="s">
        <v>36</v>
      </c>
      <c r="D59" s="72">
        <f>1.3+1.6</f>
        <v>2.9000000000000004</v>
      </c>
      <c r="E59" s="141"/>
      <c r="F59" s="152"/>
      <c r="G59" s="152"/>
      <c r="H59" s="152">
        <v>3.83</v>
      </c>
      <c r="I59" s="152">
        <f t="shared" ref="I59:I67" si="24">ROUND(G59*$I$1,2)</f>
        <v>0</v>
      </c>
      <c r="J59" s="153">
        <f t="shared" ref="J59:J67" si="25">SUM(G59:I59)</f>
        <v>3.83</v>
      </c>
      <c r="K59" s="154">
        <f t="shared" ref="K59:K69" si="26">ROUND(D59*E59,2)</f>
        <v>0</v>
      </c>
      <c r="L59" s="154">
        <f t="shared" ref="L59:L69" si="27">ROUND(D59*G59,2)</f>
        <v>0</v>
      </c>
      <c r="M59" s="154">
        <f t="shared" ref="M59:M69" si="28">ROUND(D59*H59,2)</f>
        <v>11.11</v>
      </c>
      <c r="N59" s="154">
        <f t="shared" ref="N59:N67" si="29">ROUND(I59*D59,2)</f>
        <v>0</v>
      </c>
      <c r="O59" s="154">
        <f t="shared" ref="O59:O67" si="30">SUM(L59:N59)</f>
        <v>11.11</v>
      </c>
    </row>
    <row r="60" spans="1:15" s="9" customFormat="1" ht="15" customHeight="1">
      <c r="A60" s="66" t="s">
        <v>342</v>
      </c>
      <c r="B60" s="12" t="s">
        <v>241</v>
      </c>
      <c r="C60" s="68" t="s">
        <v>34</v>
      </c>
      <c r="D60" s="72">
        <v>6</v>
      </c>
      <c r="E60" s="141"/>
      <c r="F60" s="152"/>
      <c r="G60" s="152"/>
      <c r="H60" s="152">
        <v>16.54</v>
      </c>
      <c r="I60" s="152">
        <f t="shared" si="24"/>
        <v>0</v>
      </c>
      <c r="J60" s="153">
        <f t="shared" si="25"/>
        <v>16.54</v>
      </c>
      <c r="K60" s="154">
        <f t="shared" si="26"/>
        <v>0</v>
      </c>
      <c r="L60" s="154">
        <f t="shared" si="27"/>
        <v>0</v>
      </c>
      <c r="M60" s="154">
        <f t="shared" si="28"/>
        <v>99.24</v>
      </c>
      <c r="N60" s="154">
        <f t="shared" si="29"/>
        <v>0</v>
      </c>
      <c r="O60" s="154">
        <f t="shared" si="30"/>
        <v>99.24</v>
      </c>
    </row>
    <row r="61" spans="1:15" s="9" customFormat="1" ht="15" customHeight="1">
      <c r="A61" s="66" t="s">
        <v>343</v>
      </c>
      <c r="B61" s="12" t="s">
        <v>242</v>
      </c>
      <c r="C61" s="68" t="s">
        <v>34</v>
      </c>
      <c r="D61" s="72">
        <v>2</v>
      </c>
      <c r="E61" s="141"/>
      <c r="F61" s="152"/>
      <c r="G61" s="152"/>
      <c r="H61" s="152">
        <v>4.5599999999999996</v>
      </c>
      <c r="I61" s="152">
        <f t="shared" si="24"/>
        <v>0</v>
      </c>
      <c r="J61" s="153">
        <f t="shared" si="25"/>
        <v>4.5599999999999996</v>
      </c>
      <c r="K61" s="154">
        <f t="shared" si="26"/>
        <v>0</v>
      </c>
      <c r="L61" s="154">
        <f t="shared" si="27"/>
        <v>0</v>
      </c>
      <c r="M61" s="154">
        <f t="shared" si="28"/>
        <v>9.1199999999999992</v>
      </c>
      <c r="N61" s="154">
        <f t="shared" si="29"/>
        <v>0</v>
      </c>
      <c r="O61" s="154">
        <f t="shared" si="30"/>
        <v>9.1199999999999992</v>
      </c>
    </row>
    <row r="62" spans="1:15" s="9" customFormat="1" ht="15" customHeight="1">
      <c r="A62" s="66" t="s">
        <v>344</v>
      </c>
      <c r="B62" s="12" t="s">
        <v>117</v>
      </c>
      <c r="C62" s="68" t="s">
        <v>34</v>
      </c>
      <c r="D62" s="72">
        <v>4</v>
      </c>
      <c r="E62" s="141"/>
      <c r="F62" s="152"/>
      <c r="G62" s="152"/>
      <c r="H62" s="152">
        <v>5.45</v>
      </c>
      <c r="I62" s="152">
        <f t="shared" si="24"/>
        <v>0</v>
      </c>
      <c r="J62" s="153">
        <f t="shared" si="25"/>
        <v>5.45</v>
      </c>
      <c r="K62" s="154">
        <f t="shared" si="26"/>
        <v>0</v>
      </c>
      <c r="L62" s="154">
        <f t="shared" si="27"/>
        <v>0</v>
      </c>
      <c r="M62" s="154">
        <f t="shared" si="28"/>
        <v>21.8</v>
      </c>
      <c r="N62" s="154">
        <f t="shared" si="29"/>
        <v>0</v>
      </c>
      <c r="O62" s="154">
        <f t="shared" si="30"/>
        <v>21.8</v>
      </c>
    </row>
    <row r="63" spans="1:15" s="9" customFormat="1" ht="15" customHeight="1">
      <c r="A63" s="66" t="s">
        <v>345</v>
      </c>
      <c r="B63" s="12" t="s">
        <v>118</v>
      </c>
      <c r="C63" s="68" t="s">
        <v>34</v>
      </c>
      <c r="D63" s="72">
        <v>1</v>
      </c>
      <c r="E63" s="141"/>
      <c r="F63" s="152"/>
      <c r="G63" s="152"/>
      <c r="H63" s="152">
        <v>5.45</v>
      </c>
      <c r="I63" s="152">
        <f t="shared" si="24"/>
        <v>0</v>
      </c>
      <c r="J63" s="153">
        <f t="shared" si="25"/>
        <v>5.45</v>
      </c>
      <c r="K63" s="154">
        <f t="shared" si="26"/>
        <v>0</v>
      </c>
      <c r="L63" s="154">
        <f t="shared" si="27"/>
        <v>0</v>
      </c>
      <c r="M63" s="154">
        <f t="shared" si="28"/>
        <v>5.45</v>
      </c>
      <c r="N63" s="154">
        <f t="shared" si="29"/>
        <v>0</v>
      </c>
      <c r="O63" s="154">
        <f t="shared" si="30"/>
        <v>5.45</v>
      </c>
    </row>
    <row r="64" spans="1:15" s="9" customFormat="1" ht="15" customHeight="1">
      <c r="A64" s="66" t="s">
        <v>346</v>
      </c>
      <c r="B64" s="12" t="s">
        <v>119</v>
      </c>
      <c r="C64" s="68" t="s">
        <v>34</v>
      </c>
      <c r="D64" s="72">
        <v>2</v>
      </c>
      <c r="E64" s="141"/>
      <c r="F64" s="152"/>
      <c r="G64" s="152"/>
      <c r="H64" s="152">
        <v>1.24</v>
      </c>
      <c r="I64" s="152">
        <f t="shared" si="24"/>
        <v>0</v>
      </c>
      <c r="J64" s="153">
        <f t="shared" si="25"/>
        <v>1.24</v>
      </c>
      <c r="K64" s="154">
        <f t="shared" si="26"/>
        <v>0</v>
      </c>
      <c r="L64" s="154">
        <f t="shared" si="27"/>
        <v>0</v>
      </c>
      <c r="M64" s="154">
        <f t="shared" si="28"/>
        <v>2.48</v>
      </c>
      <c r="N64" s="154">
        <f t="shared" si="29"/>
        <v>0</v>
      </c>
      <c r="O64" s="154">
        <f t="shared" si="30"/>
        <v>2.48</v>
      </c>
    </row>
    <row r="65" spans="1:15" s="9" customFormat="1" ht="15" customHeight="1">
      <c r="A65" s="66" t="s">
        <v>347</v>
      </c>
      <c r="B65" s="12" t="s">
        <v>54</v>
      </c>
      <c r="C65" s="68" t="s">
        <v>34</v>
      </c>
      <c r="D65" s="72">
        <v>2</v>
      </c>
      <c r="E65" s="141"/>
      <c r="F65" s="152"/>
      <c r="G65" s="152"/>
      <c r="H65" s="152">
        <v>15.2</v>
      </c>
      <c r="I65" s="152">
        <f t="shared" si="24"/>
        <v>0</v>
      </c>
      <c r="J65" s="153">
        <f t="shared" si="25"/>
        <v>15.2</v>
      </c>
      <c r="K65" s="154">
        <f t="shared" si="26"/>
        <v>0</v>
      </c>
      <c r="L65" s="154">
        <f t="shared" si="27"/>
        <v>0</v>
      </c>
      <c r="M65" s="154">
        <f t="shared" si="28"/>
        <v>30.4</v>
      </c>
      <c r="N65" s="154">
        <f t="shared" si="29"/>
        <v>0</v>
      </c>
      <c r="O65" s="154">
        <f t="shared" si="30"/>
        <v>30.4</v>
      </c>
    </row>
    <row r="66" spans="1:15" s="9" customFormat="1" ht="15" customHeight="1">
      <c r="A66" s="66" t="s">
        <v>348</v>
      </c>
      <c r="B66" s="12" t="s">
        <v>55</v>
      </c>
      <c r="C66" s="68" t="s">
        <v>34</v>
      </c>
      <c r="D66" s="72">
        <v>1</v>
      </c>
      <c r="E66" s="141"/>
      <c r="F66" s="152"/>
      <c r="G66" s="152"/>
      <c r="H66" s="152">
        <v>15.2</v>
      </c>
      <c r="I66" s="152">
        <f t="shared" si="24"/>
        <v>0</v>
      </c>
      <c r="J66" s="153">
        <f t="shared" si="25"/>
        <v>15.2</v>
      </c>
      <c r="K66" s="154">
        <f t="shared" si="26"/>
        <v>0</v>
      </c>
      <c r="L66" s="154">
        <f t="shared" si="27"/>
        <v>0</v>
      </c>
      <c r="M66" s="154">
        <f t="shared" si="28"/>
        <v>15.2</v>
      </c>
      <c r="N66" s="154">
        <f t="shared" si="29"/>
        <v>0</v>
      </c>
      <c r="O66" s="154">
        <f t="shared" si="30"/>
        <v>15.2</v>
      </c>
    </row>
    <row r="67" spans="1:15" s="9" customFormat="1" ht="15" customHeight="1">
      <c r="A67" s="66" t="s">
        <v>349</v>
      </c>
      <c r="B67" s="12" t="s">
        <v>56</v>
      </c>
      <c r="C67" s="68" t="s">
        <v>34</v>
      </c>
      <c r="D67" s="72">
        <v>1</v>
      </c>
      <c r="E67" s="141"/>
      <c r="F67" s="152"/>
      <c r="G67" s="152"/>
      <c r="H67" s="152">
        <v>36.700000000000003</v>
      </c>
      <c r="I67" s="152">
        <f t="shared" si="24"/>
        <v>0</v>
      </c>
      <c r="J67" s="153">
        <f t="shared" si="25"/>
        <v>36.700000000000003</v>
      </c>
      <c r="K67" s="154">
        <f t="shared" si="26"/>
        <v>0</v>
      </c>
      <c r="L67" s="154">
        <f t="shared" si="27"/>
        <v>0</v>
      </c>
      <c r="M67" s="154">
        <f t="shared" si="28"/>
        <v>36.700000000000003</v>
      </c>
      <c r="N67" s="154">
        <f t="shared" si="29"/>
        <v>0</v>
      </c>
      <c r="O67" s="154">
        <f t="shared" si="30"/>
        <v>36.700000000000003</v>
      </c>
    </row>
    <row r="68" spans="1:15" s="9" customFormat="1" ht="25.5">
      <c r="A68" s="66" t="s">
        <v>350</v>
      </c>
      <c r="B68" s="12" t="s">
        <v>244</v>
      </c>
      <c r="C68" s="68" t="s">
        <v>243</v>
      </c>
      <c r="D68" s="72">
        <v>1</v>
      </c>
      <c r="E68" s="141"/>
      <c r="F68" s="152"/>
      <c r="G68" s="152"/>
      <c r="H68" s="152">
        <v>35</v>
      </c>
      <c r="I68" s="152"/>
      <c r="J68" s="153"/>
      <c r="K68" s="153">
        <f t="shared" si="26"/>
        <v>0</v>
      </c>
      <c r="L68" s="153">
        <f t="shared" si="27"/>
        <v>0</v>
      </c>
      <c r="M68" s="153">
        <f t="shared" si="28"/>
        <v>35</v>
      </c>
      <c r="N68" s="154">
        <f t="shared" ref="N68:N88" si="31">ROUND(I68*D68,2)</f>
        <v>0</v>
      </c>
      <c r="O68" s="154">
        <f t="shared" ref="O68:O88" si="32">SUM(L68:N68)</f>
        <v>35</v>
      </c>
    </row>
    <row r="69" spans="1:15" s="9" customFormat="1" ht="25.5">
      <c r="A69" s="66" t="s">
        <v>351</v>
      </c>
      <c r="B69" s="22" t="s">
        <v>256</v>
      </c>
      <c r="C69" s="46" t="s">
        <v>36</v>
      </c>
      <c r="D69" s="46">
        <f>D70+D71</f>
        <v>26</v>
      </c>
      <c r="E69" s="141">
        <v>0.84</v>
      </c>
      <c r="F69" s="138">
        <f>$F$1</f>
        <v>3.8</v>
      </c>
      <c r="G69" s="138">
        <f>ROUND(E69*F69,2)</f>
        <v>3.19</v>
      </c>
      <c r="H69" s="138"/>
      <c r="I69" s="138">
        <f t="shared" ref="I69:I87" si="33">ROUND(G69*$I$1,2)</f>
        <v>0.26</v>
      </c>
      <c r="J69" s="139">
        <f t="shared" ref="J69:J88" si="34">SUM(G69:I69)</f>
        <v>3.45</v>
      </c>
      <c r="K69" s="140">
        <f t="shared" si="26"/>
        <v>21.84</v>
      </c>
      <c r="L69" s="140">
        <f t="shared" si="27"/>
        <v>82.94</v>
      </c>
      <c r="M69" s="140">
        <f t="shared" si="28"/>
        <v>0</v>
      </c>
      <c r="N69" s="140">
        <f t="shared" si="31"/>
        <v>6.76</v>
      </c>
      <c r="O69" s="140">
        <f t="shared" si="32"/>
        <v>89.7</v>
      </c>
    </row>
    <row r="70" spans="1:15" s="9" customFormat="1" ht="38.25">
      <c r="A70" s="66" t="s">
        <v>352</v>
      </c>
      <c r="B70" s="85" t="s">
        <v>255</v>
      </c>
      <c r="C70" s="102" t="s">
        <v>36</v>
      </c>
      <c r="D70" s="16">
        <v>24</v>
      </c>
      <c r="E70" s="141"/>
      <c r="F70" s="152"/>
      <c r="G70" s="152"/>
      <c r="H70" s="152">
        <f>ROUND(5.47*0.9,2)</f>
        <v>4.92</v>
      </c>
      <c r="I70" s="152">
        <f t="shared" si="33"/>
        <v>0</v>
      </c>
      <c r="J70" s="153">
        <f t="shared" si="34"/>
        <v>4.92</v>
      </c>
      <c r="K70" s="154">
        <f t="shared" ref="K70:K88" si="35">ROUND(D70*E70,2)</f>
        <v>0</v>
      </c>
      <c r="L70" s="154">
        <f t="shared" ref="L70:L88" si="36">ROUND(D70*G70,2)</f>
        <v>0</v>
      </c>
      <c r="M70" s="154">
        <f t="shared" ref="M70:M88" si="37">ROUND(D70*H70,2)</f>
        <v>118.08</v>
      </c>
      <c r="N70" s="154">
        <f t="shared" si="31"/>
        <v>0</v>
      </c>
      <c r="O70" s="154">
        <f t="shared" si="32"/>
        <v>118.08</v>
      </c>
    </row>
    <row r="71" spans="1:15" s="9" customFormat="1" ht="25.5">
      <c r="A71" s="66" t="s">
        <v>353</v>
      </c>
      <c r="B71" s="85" t="s">
        <v>254</v>
      </c>
      <c r="C71" s="102" t="s">
        <v>36</v>
      </c>
      <c r="D71" s="16">
        <v>2</v>
      </c>
      <c r="E71" s="141"/>
      <c r="F71" s="152"/>
      <c r="G71" s="152"/>
      <c r="H71" s="152">
        <f>ROUND(2.65*0.9,2)</f>
        <v>2.39</v>
      </c>
      <c r="I71" s="152">
        <f t="shared" si="33"/>
        <v>0</v>
      </c>
      <c r="J71" s="153">
        <f t="shared" si="34"/>
        <v>2.39</v>
      </c>
      <c r="K71" s="154">
        <f t="shared" si="35"/>
        <v>0</v>
      </c>
      <c r="L71" s="154">
        <f t="shared" si="36"/>
        <v>0</v>
      </c>
      <c r="M71" s="154">
        <f t="shared" si="37"/>
        <v>4.78</v>
      </c>
      <c r="N71" s="154">
        <f t="shared" si="31"/>
        <v>0</v>
      </c>
      <c r="O71" s="154">
        <f t="shared" si="32"/>
        <v>4.78</v>
      </c>
    </row>
    <row r="72" spans="1:15" s="145" customFormat="1" ht="15" customHeight="1">
      <c r="A72" s="66" t="s">
        <v>354</v>
      </c>
      <c r="B72" s="22" t="s">
        <v>245</v>
      </c>
      <c r="C72" s="157" t="s">
        <v>43</v>
      </c>
      <c r="D72" s="157">
        <v>35</v>
      </c>
      <c r="E72" s="143">
        <v>0.65</v>
      </c>
      <c r="F72" s="138">
        <f>$F$1</f>
        <v>3.8</v>
      </c>
      <c r="G72" s="138">
        <f>ROUND(E72*F72,2)</f>
        <v>2.4700000000000002</v>
      </c>
      <c r="H72" s="138"/>
      <c r="I72" s="138">
        <f t="shared" si="33"/>
        <v>0.2</v>
      </c>
      <c r="J72" s="139">
        <f t="shared" si="34"/>
        <v>2.6700000000000004</v>
      </c>
      <c r="K72" s="140">
        <f t="shared" si="35"/>
        <v>22.75</v>
      </c>
      <c r="L72" s="140">
        <f t="shared" si="36"/>
        <v>86.45</v>
      </c>
      <c r="M72" s="140">
        <f t="shared" si="37"/>
        <v>0</v>
      </c>
      <c r="N72" s="140">
        <f t="shared" si="31"/>
        <v>7</v>
      </c>
      <c r="O72" s="140">
        <f t="shared" si="32"/>
        <v>93.45</v>
      </c>
    </row>
    <row r="73" spans="1:15" s="9" customFormat="1" ht="38.25">
      <c r="A73" s="66" t="s">
        <v>355</v>
      </c>
      <c r="B73" s="12" t="s">
        <v>247</v>
      </c>
      <c r="C73" s="102" t="s">
        <v>43</v>
      </c>
      <c r="D73" s="16">
        <v>35</v>
      </c>
      <c r="E73" s="156"/>
      <c r="F73" s="152"/>
      <c r="G73" s="152"/>
      <c r="H73" s="152">
        <v>1.05</v>
      </c>
      <c r="I73" s="152">
        <f t="shared" si="33"/>
        <v>0</v>
      </c>
      <c r="J73" s="153">
        <f t="shared" si="34"/>
        <v>1.05</v>
      </c>
      <c r="K73" s="154">
        <f t="shared" si="35"/>
        <v>0</v>
      </c>
      <c r="L73" s="154">
        <f t="shared" si="36"/>
        <v>0</v>
      </c>
      <c r="M73" s="154">
        <f t="shared" si="37"/>
        <v>36.75</v>
      </c>
      <c r="N73" s="154">
        <f t="shared" si="31"/>
        <v>0</v>
      </c>
      <c r="O73" s="154">
        <f t="shared" si="32"/>
        <v>36.75</v>
      </c>
    </row>
    <row r="74" spans="1:15" s="9" customFormat="1" ht="15" customHeight="1">
      <c r="A74" s="66" t="s">
        <v>356</v>
      </c>
      <c r="B74" s="12" t="s">
        <v>248</v>
      </c>
      <c r="C74" s="102" t="s">
        <v>36</v>
      </c>
      <c r="D74" s="16">
        <v>30</v>
      </c>
      <c r="E74" s="156"/>
      <c r="F74" s="152"/>
      <c r="G74" s="152"/>
      <c r="H74" s="152">
        <v>5.2</v>
      </c>
      <c r="I74" s="152">
        <f t="shared" si="33"/>
        <v>0</v>
      </c>
      <c r="J74" s="153">
        <f t="shared" si="34"/>
        <v>5.2</v>
      </c>
      <c r="K74" s="154">
        <f t="shared" si="35"/>
        <v>0</v>
      </c>
      <c r="L74" s="154">
        <f t="shared" si="36"/>
        <v>0</v>
      </c>
      <c r="M74" s="154">
        <f t="shared" si="37"/>
        <v>156</v>
      </c>
      <c r="N74" s="154">
        <f t="shared" si="31"/>
        <v>0</v>
      </c>
      <c r="O74" s="154">
        <f t="shared" si="32"/>
        <v>156</v>
      </c>
    </row>
    <row r="75" spans="1:15" s="145" customFormat="1" ht="15" customHeight="1">
      <c r="A75" s="66" t="s">
        <v>357</v>
      </c>
      <c r="B75" s="11" t="s">
        <v>120</v>
      </c>
      <c r="C75" s="10" t="s">
        <v>34</v>
      </c>
      <c r="D75" s="146">
        <f>D76+D77+D78</f>
        <v>5</v>
      </c>
      <c r="E75" s="143">
        <v>1.2</v>
      </c>
      <c r="F75" s="138">
        <f>$F$1</f>
        <v>3.8</v>
      </c>
      <c r="G75" s="138">
        <f>ROUND(E75*F75,2)</f>
        <v>4.5599999999999996</v>
      </c>
      <c r="H75" s="138"/>
      <c r="I75" s="138">
        <f t="shared" si="33"/>
        <v>0.36</v>
      </c>
      <c r="J75" s="139">
        <f t="shared" si="34"/>
        <v>4.92</v>
      </c>
      <c r="K75" s="140">
        <f t="shared" si="35"/>
        <v>6</v>
      </c>
      <c r="L75" s="140">
        <f t="shared" si="36"/>
        <v>22.8</v>
      </c>
      <c r="M75" s="140">
        <f t="shared" si="37"/>
        <v>0</v>
      </c>
      <c r="N75" s="140">
        <f t="shared" si="31"/>
        <v>1.8</v>
      </c>
      <c r="O75" s="140">
        <f t="shared" si="32"/>
        <v>24.6</v>
      </c>
    </row>
    <row r="76" spans="1:15" s="9" customFormat="1" ht="15" customHeight="1">
      <c r="A76" s="66" t="s">
        <v>358</v>
      </c>
      <c r="B76" s="12" t="s">
        <v>57</v>
      </c>
      <c r="C76" s="68" t="s">
        <v>34</v>
      </c>
      <c r="D76" s="72">
        <v>2</v>
      </c>
      <c r="E76" s="141"/>
      <c r="F76" s="152"/>
      <c r="G76" s="152"/>
      <c r="H76" s="152">
        <v>62.5</v>
      </c>
      <c r="I76" s="152">
        <f t="shared" si="33"/>
        <v>0</v>
      </c>
      <c r="J76" s="153">
        <f t="shared" si="34"/>
        <v>62.5</v>
      </c>
      <c r="K76" s="154">
        <f t="shared" si="35"/>
        <v>0</v>
      </c>
      <c r="L76" s="154">
        <f t="shared" si="36"/>
        <v>0</v>
      </c>
      <c r="M76" s="154">
        <f t="shared" si="37"/>
        <v>125</v>
      </c>
      <c r="N76" s="154">
        <f t="shared" si="31"/>
        <v>0</v>
      </c>
      <c r="O76" s="154">
        <f t="shared" si="32"/>
        <v>125</v>
      </c>
    </row>
    <row r="77" spans="1:15" s="9" customFormat="1" ht="15" customHeight="1">
      <c r="A77" s="66" t="s">
        <v>359</v>
      </c>
      <c r="B77" s="12" t="s">
        <v>58</v>
      </c>
      <c r="C77" s="68" t="s">
        <v>34</v>
      </c>
      <c r="D77" s="72">
        <v>1</v>
      </c>
      <c r="E77" s="141"/>
      <c r="F77" s="152"/>
      <c r="G77" s="152"/>
      <c r="H77" s="152">
        <v>14.25</v>
      </c>
      <c r="I77" s="152">
        <f t="shared" si="33"/>
        <v>0</v>
      </c>
      <c r="J77" s="153">
        <f t="shared" si="34"/>
        <v>14.25</v>
      </c>
      <c r="K77" s="154">
        <f t="shared" si="35"/>
        <v>0</v>
      </c>
      <c r="L77" s="154">
        <f t="shared" si="36"/>
        <v>0</v>
      </c>
      <c r="M77" s="154">
        <f t="shared" si="37"/>
        <v>14.25</v>
      </c>
      <c r="N77" s="154">
        <f t="shared" si="31"/>
        <v>0</v>
      </c>
      <c r="O77" s="154">
        <f t="shared" si="32"/>
        <v>14.25</v>
      </c>
    </row>
    <row r="78" spans="1:15" s="9" customFormat="1" ht="15" customHeight="1">
      <c r="A78" s="66" t="s">
        <v>360</v>
      </c>
      <c r="B78" s="12" t="s">
        <v>59</v>
      </c>
      <c r="C78" s="68" t="s">
        <v>34</v>
      </c>
      <c r="D78" s="72">
        <v>2</v>
      </c>
      <c r="E78" s="141"/>
      <c r="F78" s="152"/>
      <c r="G78" s="152"/>
      <c r="H78" s="152">
        <v>75</v>
      </c>
      <c r="I78" s="152">
        <f t="shared" si="33"/>
        <v>0</v>
      </c>
      <c r="J78" s="153">
        <f t="shared" si="34"/>
        <v>75</v>
      </c>
      <c r="K78" s="154">
        <f t="shared" si="35"/>
        <v>0</v>
      </c>
      <c r="L78" s="154">
        <f t="shared" si="36"/>
        <v>0</v>
      </c>
      <c r="M78" s="154">
        <f t="shared" si="37"/>
        <v>150</v>
      </c>
      <c r="N78" s="154">
        <f t="shared" si="31"/>
        <v>0</v>
      </c>
      <c r="O78" s="154">
        <f t="shared" si="32"/>
        <v>150</v>
      </c>
    </row>
    <row r="79" spans="1:15" s="145" customFormat="1" ht="25.5">
      <c r="A79" s="66" t="s">
        <v>361</v>
      </c>
      <c r="B79" s="11" t="s">
        <v>246</v>
      </c>
      <c r="C79" s="10" t="s">
        <v>36</v>
      </c>
      <c r="D79" s="146">
        <f>D80</f>
        <v>18.3</v>
      </c>
      <c r="E79" s="143">
        <v>1.2</v>
      </c>
      <c r="F79" s="138">
        <f>$F$1</f>
        <v>3.8</v>
      </c>
      <c r="G79" s="138">
        <f>ROUND(E79*F79,2)</f>
        <v>4.5599999999999996</v>
      </c>
      <c r="H79" s="138"/>
      <c r="I79" s="138">
        <f t="shared" si="33"/>
        <v>0.36</v>
      </c>
      <c r="J79" s="139">
        <f t="shared" si="34"/>
        <v>4.92</v>
      </c>
      <c r="K79" s="140">
        <f t="shared" si="35"/>
        <v>21.96</v>
      </c>
      <c r="L79" s="140">
        <f t="shared" si="36"/>
        <v>83.45</v>
      </c>
      <c r="M79" s="140">
        <f t="shared" si="37"/>
        <v>0</v>
      </c>
      <c r="N79" s="140">
        <f t="shared" si="31"/>
        <v>6.59</v>
      </c>
      <c r="O79" s="140">
        <f t="shared" si="32"/>
        <v>90.04</v>
      </c>
    </row>
    <row r="80" spans="1:15" s="9" customFormat="1" ht="15" customHeight="1">
      <c r="A80" s="66" t="s">
        <v>362</v>
      </c>
      <c r="B80" s="12" t="s">
        <v>249</v>
      </c>
      <c r="C80" s="68" t="s">
        <v>36</v>
      </c>
      <c r="D80" s="72">
        <f>15+1.8+0.5+1</f>
        <v>18.3</v>
      </c>
      <c r="E80" s="141"/>
      <c r="F80" s="58"/>
      <c r="G80" s="29"/>
      <c r="H80" s="29">
        <v>2.6</v>
      </c>
      <c r="I80" s="152">
        <f t="shared" si="33"/>
        <v>0</v>
      </c>
      <c r="J80" s="153">
        <f t="shared" si="34"/>
        <v>2.6</v>
      </c>
      <c r="K80" s="154">
        <f t="shared" si="35"/>
        <v>0</v>
      </c>
      <c r="L80" s="154">
        <f t="shared" si="36"/>
        <v>0</v>
      </c>
      <c r="M80" s="154">
        <f t="shared" si="37"/>
        <v>47.58</v>
      </c>
      <c r="N80" s="154">
        <f t="shared" si="31"/>
        <v>0</v>
      </c>
      <c r="O80" s="154">
        <f t="shared" si="32"/>
        <v>47.58</v>
      </c>
    </row>
    <row r="81" spans="1:15" s="9" customFormat="1" ht="15" customHeight="1">
      <c r="A81" s="66" t="s">
        <v>363</v>
      </c>
      <c r="B81" s="70" t="s">
        <v>60</v>
      </c>
      <c r="C81" s="68" t="s">
        <v>34</v>
      </c>
      <c r="D81" s="72">
        <v>1</v>
      </c>
      <c r="E81" s="142"/>
      <c r="F81" s="58"/>
      <c r="G81" s="29"/>
      <c r="H81" s="29">
        <v>4.8</v>
      </c>
      <c r="I81" s="152">
        <f t="shared" si="33"/>
        <v>0</v>
      </c>
      <c r="J81" s="153">
        <f t="shared" si="34"/>
        <v>4.8</v>
      </c>
      <c r="K81" s="154">
        <f t="shared" si="35"/>
        <v>0</v>
      </c>
      <c r="L81" s="154">
        <f t="shared" si="36"/>
        <v>0</v>
      </c>
      <c r="M81" s="154">
        <f t="shared" si="37"/>
        <v>4.8</v>
      </c>
      <c r="N81" s="154">
        <f t="shared" si="31"/>
        <v>0</v>
      </c>
      <c r="O81" s="154">
        <f t="shared" si="32"/>
        <v>4.8</v>
      </c>
    </row>
    <row r="82" spans="1:15" s="9" customFormat="1" ht="15" customHeight="1">
      <c r="A82" s="66" t="s">
        <v>364</v>
      </c>
      <c r="B82" s="12" t="s">
        <v>121</v>
      </c>
      <c r="C82" s="68" t="s">
        <v>34</v>
      </c>
      <c r="D82" s="72">
        <v>1</v>
      </c>
      <c r="E82" s="141"/>
      <c r="F82" s="58"/>
      <c r="G82" s="29"/>
      <c r="H82" s="29">
        <v>1.25</v>
      </c>
      <c r="I82" s="152">
        <f t="shared" si="33"/>
        <v>0</v>
      </c>
      <c r="J82" s="153">
        <f t="shared" si="34"/>
        <v>1.25</v>
      </c>
      <c r="K82" s="154">
        <f t="shared" si="35"/>
        <v>0</v>
      </c>
      <c r="L82" s="154">
        <f t="shared" si="36"/>
        <v>0</v>
      </c>
      <c r="M82" s="154">
        <f t="shared" si="37"/>
        <v>1.25</v>
      </c>
      <c r="N82" s="154">
        <f t="shared" si="31"/>
        <v>0</v>
      </c>
      <c r="O82" s="154">
        <f t="shared" si="32"/>
        <v>1.25</v>
      </c>
    </row>
    <row r="83" spans="1:15" s="9" customFormat="1" ht="15" customHeight="1">
      <c r="A83" s="66" t="s">
        <v>365</v>
      </c>
      <c r="B83" s="12" t="s">
        <v>61</v>
      </c>
      <c r="C83" s="68" t="s">
        <v>34</v>
      </c>
      <c r="D83" s="68">
        <v>1</v>
      </c>
      <c r="E83" s="141"/>
      <c r="F83" s="58"/>
      <c r="G83" s="29"/>
      <c r="H83" s="29">
        <v>3.2</v>
      </c>
      <c r="I83" s="152">
        <f t="shared" si="33"/>
        <v>0</v>
      </c>
      <c r="J83" s="153">
        <f t="shared" si="34"/>
        <v>3.2</v>
      </c>
      <c r="K83" s="154">
        <f t="shared" si="35"/>
        <v>0</v>
      </c>
      <c r="L83" s="154">
        <f t="shared" si="36"/>
        <v>0</v>
      </c>
      <c r="M83" s="154">
        <f t="shared" si="37"/>
        <v>3.2</v>
      </c>
      <c r="N83" s="154">
        <f t="shared" si="31"/>
        <v>0</v>
      </c>
      <c r="O83" s="154">
        <f t="shared" si="32"/>
        <v>3.2</v>
      </c>
    </row>
    <row r="84" spans="1:15" s="145" customFormat="1" ht="25.5">
      <c r="A84" s="66" t="s">
        <v>366</v>
      </c>
      <c r="B84" s="11" t="s">
        <v>250</v>
      </c>
      <c r="C84" s="10" t="s">
        <v>42</v>
      </c>
      <c r="D84" s="146">
        <v>2</v>
      </c>
      <c r="E84" s="143">
        <v>0.8</v>
      </c>
      <c r="F84" s="138">
        <f>$F$1</f>
        <v>3.8</v>
      </c>
      <c r="G84" s="138">
        <f>ROUND(E84*F84,2)</f>
        <v>3.04</v>
      </c>
      <c r="H84" s="138"/>
      <c r="I84" s="138">
        <f t="shared" si="33"/>
        <v>0.24</v>
      </c>
      <c r="J84" s="139">
        <f t="shared" si="34"/>
        <v>3.2800000000000002</v>
      </c>
      <c r="K84" s="140">
        <f t="shared" si="35"/>
        <v>1.6</v>
      </c>
      <c r="L84" s="140">
        <f t="shared" si="36"/>
        <v>6.08</v>
      </c>
      <c r="M84" s="140">
        <f t="shared" si="37"/>
        <v>0</v>
      </c>
      <c r="N84" s="140">
        <f t="shared" si="31"/>
        <v>0.48</v>
      </c>
      <c r="O84" s="140">
        <f t="shared" si="32"/>
        <v>6.5600000000000005</v>
      </c>
    </row>
    <row r="85" spans="1:15" s="9" customFormat="1" ht="15" customHeight="1">
      <c r="A85" s="66" t="s">
        <v>367</v>
      </c>
      <c r="B85" s="73" t="s">
        <v>251</v>
      </c>
      <c r="C85" s="10" t="s">
        <v>36</v>
      </c>
      <c r="D85" s="74">
        <v>18.3</v>
      </c>
      <c r="E85" s="143">
        <v>0.22</v>
      </c>
      <c r="F85" s="138">
        <f>$F$1</f>
        <v>3.8</v>
      </c>
      <c r="G85" s="138">
        <f>ROUND(E85*F85,2)</f>
        <v>0.84</v>
      </c>
      <c r="H85" s="138"/>
      <c r="I85" s="138">
        <f t="shared" si="33"/>
        <v>7.0000000000000007E-2</v>
      </c>
      <c r="J85" s="139">
        <f t="shared" si="34"/>
        <v>0.90999999999999992</v>
      </c>
      <c r="K85" s="140">
        <f t="shared" si="35"/>
        <v>4.03</v>
      </c>
      <c r="L85" s="140">
        <f t="shared" si="36"/>
        <v>15.37</v>
      </c>
      <c r="M85" s="140">
        <f t="shared" si="37"/>
        <v>0</v>
      </c>
      <c r="N85" s="140">
        <f t="shared" si="31"/>
        <v>1.28</v>
      </c>
      <c r="O85" s="140">
        <f t="shared" si="32"/>
        <v>16.649999999999999</v>
      </c>
    </row>
    <row r="86" spans="1:15" s="9" customFormat="1" ht="15" customHeight="1">
      <c r="A86" s="66" t="s">
        <v>368</v>
      </c>
      <c r="B86" s="12" t="s">
        <v>62</v>
      </c>
      <c r="C86" s="68" t="s">
        <v>33</v>
      </c>
      <c r="D86" s="68">
        <v>6</v>
      </c>
      <c r="E86" s="141"/>
      <c r="F86" s="58"/>
      <c r="G86" s="29"/>
      <c r="H86" s="29">
        <v>1.3</v>
      </c>
      <c r="I86" s="152">
        <f t="shared" si="33"/>
        <v>0</v>
      </c>
      <c r="J86" s="153">
        <f t="shared" si="34"/>
        <v>1.3</v>
      </c>
      <c r="K86" s="154">
        <f t="shared" si="35"/>
        <v>0</v>
      </c>
      <c r="L86" s="154">
        <f t="shared" si="36"/>
        <v>0</v>
      </c>
      <c r="M86" s="154">
        <f t="shared" si="37"/>
        <v>7.8</v>
      </c>
      <c r="N86" s="154">
        <f t="shared" si="31"/>
        <v>0</v>
      </c>
      <c r="O86" s="154">
        <f t="shared" si="32"/>
        <v>7.8</v>
      </c>
    </row>
    <row r="87" spans="1:15" s="9" customFormat="1" ht="15" customHeight="1">
      <c r="A87" s="66" t="s">
        <v>369</v>
      </c>
      <c r="B87" s="12" t="s">
        <v>63</v>
      </c>
      <c r="C87" s="68" t="s">
        <v>41</v>
      </c>
      <c r="D87" s="68">
        <v>10</v>
      </c>
      <c r="E87" s="141"/>
      <c r="F87" s="58"/>
      <c r="G87" s="29"/>
      <c r="H87" s="29">
        <v>0.8</v>
      </c>
      <c r="I87" s="152">
        <f t="shared" si="33"/>
        <v>0</v>
      </c>
      <c r="J87" s="153">
        <f t="shared" si="34"/>
        <v>0.8</v>
      </c>
      <c r="K87" s="154">
        <f t="shared" si="35"/>
        <v>0</v>
      </c>
      <c r="L87" s="154">
        <f t="shared" si="36"/>
        <v>0</v>
      </c>
      <c r="M87" s="154">
        <f t="shared" si="37"/>
        <v>8</v>
      </c>
      <c r="N87" s="154">
        <f t="shared" si="31"/>
        <v>0</v>
      </c>
      <c r="O87" s="154">
        <f t="shared" si="32"/>
        <v>8</v>
      </c>
    </row>
    <row r="88" spans="1:15" s="9" customFormat="1" ht="26.25" thickBot="1">
      <c r="A88" s="66" t="s">
        <v>370</v>
      </c>
      <c r="B88" s="12" t="s">
        <v>253</v>
      </c>
      <c r="C88" s="68" t="s">
        <v>33</v>
      </c>
      <c r="D88" s="68">
        <v>1</v>
      </c>
      <c r="E88" s="141"/>
      <c r="F88" s="58"/>
      <c r="G88" s="29"/>
      <c r="H88" s="29">
        <v>55</v>
      </c>
      <c r="I88" s="152"/>
      <c r="J88" s="153">
        <f t="shared" si="34"/>
        <v>55</v>
      </c>
      <c r="K88" s="154">
        <f t="shared" si="35"/>
        <v>0</v>
      </c>
      <c r="L88" s="154">
        <f t="shared" si="36"/>
        <v>0</v>
      </c>
      <c r="M88" s="154">
        <f t="shared" si="37"/>
        <v>55</v>
      </c>
      <c r="N88" s="154">
        <f t="shared" si="31"/>
        <v>0</v>
      </c>
      <c r="O88" s="154">
        <f t="shared" si="32"/>
        <v>55</v>
      </c>
    </row>
    <row r="89" spans="1:15" s="9" customFormat="1" ht="15.75" thickBot="1">
      <c r="A89" s="312" t="s">
        <v>252</v>
      </c>
      <c r="B89" s="313"/>
      <c r="C89" s="313"/>
      <c r="D89" s="313"/>
      <c r="E89" s="313"/>
      <c r="F89" s="313"/>
      <c r="G89" s="313"/>
      <c r="H89" s="313"/>
      <c r="I89" s="313"/>
      <c r="J89" s="314"/>
      <c r="K89" s="29"/>
      <c r="L89" s="29"/>
      <c r="M89" s="29"/>
      <c r="N89" s="29"/>
      <c r="O89" s="29"/>
    </row>
    <row r="90" spans="1:15" s="9" customFormat="1">
      <c r="A90" s="66" t="s">
        <v>371</v>
      </c>
      <c r="B90" s="75" t="s">
        <v>122</v>
      </c>
      <c r="C90" s="19" t="s">
        <v>33</v>
      </c>
      <c r="D90" s="52">
        <v>1</v>
      </c>
      <c r="E90" s="143">
        <v>1.3</v>
      </c>
      <c r="F90" s="138">
        <f>$F$1</f>
        <v>3.8</v>
      </c>
      <c r="G90" s="138">
        <f>ROUND(E90*F90,2)</f>
        <v>4.9400000000000004</v>
      </c>
      <c r="H90" s="138"/>
      <c r="I90" s="138">
        <f t="shared" ref="I90:I98" si="38">ROUND(G90*$I$1,2)</f>
        <v>0.4</v>
      </c>
      <c r="J90" s="139">
        <f t="shared" ref="J90:J98" si="39">SUM(G90:I90)</f>
        <v>5.3400000000000007</v>
      </c>
      <c r="K90" s="140">
        <f t="shared" ref="K90:K98" si="40">ROUND(D90*E90,2)</f>
        <v>1.3</v>
      </c>
      <c r="L90" s="140">
        <f t="shared" ref="L90:L98" si="41">ROUND(D90*G90,2)</f>
        <v>4.9400000000000004</v>
      </c>
      <c r="M90" s="140">
        <f t="shared" ref="M90:M98" si="42">ROUND(D90*H90,2)</f>
        <v>0</v>
      </c>
      <c r="N90" s="140">
        <f t="shared" ref="N90:N98" si="43">ROUND(I90*D90,2)</f>
        <v>0.4</v>
      </c>
      <c r="O90" s="140">
        <f t="shared" ref="O90:O98" si="44">SUM(L90:N90)</f>
        <v>5.3400000000000007</v>
      </c>
    </row>
    <row r="91" spans="1:15" s="9" customFormat="1" ht="15" customHeight="1">
      <c r="A91" s="66" t="s">
        <v>372</v>
      </c>
      <c r="B91" s="12" t="s">
        <v>64</v>
      </c>
      <c r="C91" s="68" t="s">
        <v>33</v>
      </c>
      <c r="D91" s="54">
        <v>1</v>
      </c>
      <c r="E91" s="141"/>
      <c r="F91" s="20"/>
      <c r="G91" s="29"/>
      <c r="H91" s="29">
        <v>526</v>
      </c>
      <c r="I91" s="152">
        <f t="shared" si="38"/>
        <v>0</v>
      </c>
      <c r="J91" s="153">
        <f t="shared" si="39"/>
        <v>526</v>
      </c>
      <c r="K91" s="154">
        <f t="shared" si="40"/>
        <v>0</v>
      </c>
      <c r="L91" s="154">
        <f t="shared" si="41"/>
        <v>0</v>
      </c>
      <c r="M91" s="154">
        <f t="shared" si="42"/>
        <v>526</v>
      </c>
      <c r="N91" s="154">
        <f t="shared" si="43"/>
        <v>0</v>
      </c>
      <c r="O91" s="154">
        <f t="shared" si="44"/>
        <v>526</v>
      </c>
    </row>
    <row r="92" spans="1:15" s="9" customFormat="1" ht="15" customHeight="1">
      <c r="A92" s="66" t="s">
        <v>373</v>
      </c>
      <c r="B92" s="147" t="s">
        <v>257</v>
      </c>
      <c r="C92" s="10" t="s">
        <v>36</v>
      </c>
      <c r="D92" s="51">
        <f>D93</f>
        <v>6</v>
      </c>
      <c r="E92" s="143">
        <v>0.8</v>
      </c>
      <c r="F92" s="138">
        <f>$F$1</f>
        <v>3.8</v>
      </c>
      <c r="G92" s="138">
        <f>ROUND(E92*F92,2)</f>
        <v>3.04</v>
      </c>
      <c r="H92" s="138"/>
      <c r="I92" s="138">
        <f t="shared" si="38"/>
        <v>0.24</v>
      </c>
      <c r="J92" s="139">
        <f t="shared" si="39"/>
        <v>3.2800000000000002</v>
      </c>
      <c r="K92" s="140">
        <f t="shared" si="40"/>
        <v>4.8</v>
      </c>
      <c r="L92" s="140">
        <f t="shared" si="41"/>
        <v>18.239999999999998</v>
      </c>
      <c r="M92" s="140">
        <f t="shared" si="42"/>
        <v>0</v>
      </c>
      <c r="N92" s="140">
        <f t="shared" si="43"/>
        <v>1.44</v>
      </c>
      <c r="O92" s="140">
        <f t="shared" si="44"/>
        <v>19.68</v>
      </c>
    </row>
    <row r="93" spans="1:15" s="9" customFormat="1" ht="15" customHeight="1">
      <c r="A93" s="66" t="s">
        <v>374</v>
      </c>
      <c r="B93" s="12" t="s">
        <v>65</v>
      </c>
      <c r="C93" s="68" t="s">
        <v>36</v>
      </c>
      <c r="D93" s="68">
        <v>6</v>
      </c>
      <c r="E93" s="141"/>
      <c r="F93" s="20"/>
      <c r="G93" s="29"/>
      <c r="H93" s="29">
        <v>1.62</v>
      </c>
      <c r="I93" s="152">
        <f t="shared" si="38"/>
        <v>0</v>
      </c>
      <c r="J93" s="153">
        <f t="shared" si="39"/>
        <v>1.62</v>
      </c>
      <c r="K93" s="154">
        <f t="shared" si="40"/>
        <v>0</v>
      </c>
      <c r="L93" s="154">
        <f t="shared" si="41"/>
        <v>0</v>
      </c>
      <c r="M93" s="154">
        <f t="shared" si="42"/>
        <v>9.7200000000000006</v>
      </c>
      <c r="N93" s="154">
        <f t="shared" si="43"/>
        <v>0</v>
      </c>
      <c r="O93" s="154">
        <f t="shared" si="44"/>
        <v>9.7200000000000006</v>
      </c>
    </row>
    <row r="94" spans="1:15" s="9" customFormat="1" ht="15" customHeight="1">
      <c r="A94" s="66" t="s">
        <v>375</v>
      </c>
      <c r="B94" s="12" t="s">
        <v>123</v>
      </c>
      <c r="C94" s="68" t="s">
        <v>34</v>
      </c>
      <c r="D94" s="68">
        <v>4</v>
      </c>
      <c r="E94" s="141"/>
      <c r="F94" s="20"/>
      <c r="G94" s="29"/>
      <c r="H94" s="29">
        <v>0.42</v>
      </c>
      <c r="I94" s="152">
        <f t="shared" si="38"/>
        <v>0</v>
      </c>
      <c r="J94" s="153">
        <f t="shared" si="39"/>
        <v>0.42</v>
      </c>
      <c r="K94" s="154">
        <f t="shared" si="40"/>
        <v>0</v>
      </c>
      <c r="L94" s="154">
        <f t="shared" si="41"/>
        <v>0</v>
      </c>
      <c r="M94" s="154">
        <f t="shared" si="42"/>
        <v>1.68</v>
      </c>
      <c r="N94" s="154">
        <f t="shared" si="43"/>
        <v>0</v>
      </c>
      <c r="O94" s="154">
        <f t="shared" si="44"/>
        <v>1.68</v>
      </c>
    </row>
    <row r="95" spans="1:15" s="9" customFormat="1" ht="15" customHeight="1">
      <c r="A95" s="66" t="s">
        <v>376</v>
      </c>
      <c r="B95" s="12" t="s">
        <v>66</v>
      </c>
      <c r="C95" s="68" t="s">
        <v>34</v>
      </c>
      <c r="D95" s="68">
        <v>1</v>
      </c>
      <c r="E95" s="141"/>
      <c r="F95" s="20"/>
      <c r="G95" s="29"/>
      <c r="H95" s="29">
        <v>0.4</v>
      </c>
      <c r="I95" s="152">
        <f t="shared" si="38"/>
        <v>0</v>
      </c>
      <c r="J95" s="153">
        <f t="shared" si="39"/>
        <v>0.4</v>
      </c>
      <c r="K95" s="154">
        <f t="shared" si="40"/>
        <v>0</v>
      </c>
      <c r="L95" s="154">
        <f t="shared" si="41"/>
        <v>0</v>
      </c>
      <c r="M95" s="154">
        <f t="shared" si="42"/>
        <v>0.4</v>
      </c>
      <c r="N95" s="154">
        <f t="shared" si="43"/>
        <v>0</v>
      </c>
      <c r="O95" s="154">
        <f t="shared" si="44"/>
        <v>0.4</v>
      </c>
    </row>
    <row r="96" spans="1:15" s="9" customFormat="1" ht="15" customHeight="1">
      <c r="A96" s="66" t="s">
        <v>377</v>
      </c>
      <c r="B96" s="11" t="s">
        <v>258</v>
      </c>
      <c r="C96" s="10" t="s">
        <v>34</v>
      </c>
      <c r="D96" s="51">
        <f>D97</f>
        <v>1</v>
      </c>
      <c r="E96" s="143">
        <v>0.8</v>
      </c>
      <c r="F96" s="138">
        <f>$F$1</f>
        <v>3.8</v>
      </c>
      <c r="G96" s="138">
        <f>ROUND(E96*F96,2)</f>
        <v>3.04</v>
      </c>
      <c r="H96" s="138"/>
      <c r="I96" s="138">
        <f t="shared" si="38"/>
        <v>0.24</v>
      </c>
      <c r="J96" s="139">
        <f t="shared" si="39"/>
        <v>3.2800000000000002</v>
      </c>
      <c r="K96" s="140">
        <f t="shared" si="40"/>
        <v>0.8</v>
      </c>
      <c r="L96" s="140">
        <f t="shared" si="41"/>
        <v>3.04</v>
      </c>
      <c r="M96" s="140">
        <f t="shared" si="42"/>
        <v>0</v>
      </c>
      <c r="N96" s="140">
        <f t="shared" si="43"/>
        <v>0.24</v>
      </c>
      <c r="O96" s="140">
        <f t="shared" si="44"/>
        <v>3.2800000000000002</v>
      </c>
    </row>
    <row r="97" spans="1:15" s="9" customFormat="1" ht="15" customHeight="1">
      <c r="A97" s="66" t="s">
        <v>378</v>
      </c>
      <c r="B97" s="12" t="s">
        <v>67</v>
      </c>
      <c r="C97" s="68" t="s">
        <v>34</v>
      </c>
      <c r="D97" s="68">
        <v>1</v>
      </c>
      <c r="E97" s="141"/>
      <c r="F97" s="20"/>
      <c r="G97" s="29"/>
      <c r="H97" s="29">
        <v>20.47</v>
      </c>
      <c r="I97" s="152">
        <f t="shared" si="38"/>
        <v>0</v>
      </c>
      <c r="J97" s="153">
        <f t="shared" si="39"/>
        <v>20.47</v>
      </c>
      <c r="K97" s="154">
        <f t="shared" si="40"/>
        <v>0</v>
      </c>
      <c r="L97" s="154">
        <f t="shared" si="41"/>
        <v>0</v>
      </c>
      <c r="M97" s="154">
        <f t="shared" si="42"/>
        <v>20.47</v>
      </c>
      <c r="N97" s="154">
        <f t="shared" si="43"/>
        <v>0</v>
      </c>
      <c r="O97" s="154">
        <f t="shared" si="44"/>
        <v>20.47</v>
      </c>
    </row>
    <row r="98" spans="1:15" s="9" customFormat="1" ht="15" customHeight="1" thickBot="1">
      <c r="A98" s="66" t="s">
        <v>379</v>
      </c>
      <c r="B98" s="12" t="s">
        <v>35</v>
      </c>
      <c r="C98" s="68" t="s">
        <v>33</v>
      </c>
      <c r="D98" s="68">
        <v>1</v>
      </c>
      <c r="E98" s="141"/>
      <c r="F98" s="20"/>
      <c r="G98" s="29"/>
      <c r="H98" s="29">
        <v>8.1999999999999993</v>
      </c>
      <c r="I98" s="152">
        <f t="shared" si="38"/>
        <v>0</v>
      </c>
      <c r="J98" s="153">
        <f t="shared" si="39"/>
        <v>8.1999999999999993</v>
      </c>
      <c r="K98" s="154">
        <f t="shared" si="40"/>
        <v>0</v>
      </c>
      <c r="L98" s="154">
        <f t="shared" si="41"/>
        <v>0</v>
      </c>
      <c r="M98" s="154">
        <f t="shared" si="42"/>
        <v>8.1999999999999993</v>
      </c>
      <c r="N98" s="154">
        <f t="shared" si="43"/>
        <v>0</v>
      </c>
      <c r="O98" s="154">
        <f t="shared" si="44"/>
        <v>8.1999999999999993</v>
      </c>
    </row>
    <row r="99" spans="1:15" s="9" customFormat="1" ht="15.75" thickBot="1">
      <c r="A99" s="312" t="s">
        <v>259</v>
      </c>
      <c r="B99" s="313"/>
      <c r="C99" s="313"/>
      <c r="D99" s="313"/>
      <c r="E99" s="313"/>
      <c r="F99" s="313"/>
      <c r="G99" s="313"/>
      <c r="H99" s="313"/>
      <c r="I99" s="313"/>
      <c r="J99" s="314"/>
      <c r="K99" s="29"/>
      <c r="L99" s="29"/>
      <c r="M99" s="29"/>
      <c r="N99" s="29"/>
      <c r="O99" s="29"/>
    </row>
    <row r="100" spans="1:15" s="9" customFormat="1" ht="38.25">
      <c r="A100" s="66" t="s">
        <v>380</v>
      </c>
      <c r="B100" s="75" t="s">
        <v>261</v>
      </c>
      <c r="C100" s="76" t="s">
        <v>33</v>
      </c>
      <c r="D100" s="76">
        <v>1</v>
      </c>
      <c r="E100" s="143">
        <v>16</v>
      </c>
      <c r="F100" s="138">
        <f>$F$1</f>
        <v>3.8</v>
      </c>
      <c r="G100" s="138">
        <f>ROUND(E100*F100,2)</f>
        <v>60.8</v>
      </c>
      <c r="H100" s="138"/>
      <c r="I100" s="138">
        <f>ROUND(G100*$I$1,2)</f>
        <v>4.8600000000000003</v>
      </c>
      <c r="J100" s="139">
        <f>SUM(G100:I100)</f>
        <v>65.66</v>
      </c>
      <c r="K100" s="140">
        <f>ROUND(D100*E100,2)</f>
        <v>16</v>
      </c>
      <c r="L100" s="140">
        <f>ROUND(D100*G100,2)</f>
        <v>60.8</v>
      </c>
      <c r="M100" s="140">
        <f>ROUND(D100*H100,2)</f>
        <v>0</v>
      </c>
      <c r="N100" s="140">
        <f>ROUND(I100*D100,2)</f>
        <v>4.8600000000000003</v>
      </c>
      <c r="O100" s="140">
        <f>SUM(L100:N100)</f>
        <v>65.66</v>
      </c>
    </row>
    <row r="101" spans="1:15" s="9" customFormat="1" ht="38.25">
      <c r="A101" s="66" t="s">
        <v>381</v>
      </c>
      <c r="B101" s="12" t="s">
        <v>260</v>
      </c>
      <c r="C101" s="77" t="s">
        <v>33</v>
      </c>
      <c r="D101" s="77">
        <v>1</v>
      </c>
      <c r="E101" s="141"/>
      <c r="F101" s="20"/>
      <c r="G101" s="29"/>
      <c r="H101" s="29">
        <v>256</v>
      </c>
      <c r="I101" s="152">
        <f>ROUND(G101*$I$1,2)</f>
        <v>0</v>
      </c>
      <c r="J101" s="153">
        <f>SUM(G101:I101)</f>
        <v>256</v>
      </c>
      <c r="K101" s="154">
        <f>ROUND(D101*E101,2)</f>
        <v>0</v>
      </c>
      <c r="L101" s="154">
        <f>ROUND(D101*G101,2)</f>
        <v>0</v>
      </c>
      <c r="M101" s="154">
        <f>ROUND(D101*H101,2)</f>
        <v>256</v>
      </c>
      <c r="N101" s="154">
        <f>ROUND(I101*D101,2)</f>
        <v>0</v>
      </c>
      <c r="O101" s="154">
        <f>SUM(L101:N101)</f>
        <v>256</v>
      </c>
    </row>
    <row r="102" spans="1:15" s="9" customFormat="1" ht="51">
      <c r="A102" s="66" t="s">
        <v>382</v>
      </c>
      <c r="B102" s="12" t="s">
        <v>68</v>
      </c>
      <c r="C102" s="77" t="s">
        <v>33</v>
      </c>
      <c r="D102" s="77">
        <v>1</v>
      </c>
      <c r="E102" s="142"/>
      <c r="F102" s="58"/>
      <c r="G102" s="29"/>
      <c r="H102" s="29">
        <v>89</v>
      </c>
      <c r="I102" s="152">
        <f>ROUND(G102*$I$1,2)</f>
        <v>0</v>
      </c>
      <c r="J102" s="153">
        <f>SUM(G102:I102)</f>
        <v>89</v>
      </c>
      <c r="K102" s="154">
        <f>ROUND(D102*E102,2)</f>
        <v>0</v>
      </c>
      <c r="L102" s="154">
        <f>ROUND(D102*G102,2)</f>
        <v>0</v>
      </c>
      <c r="M102" s="154">
        <f>ROUND(D102*H102,2)</f>
        <v>89</v>
      </c>
      <c r="N102" s="154">
        <f>ROUND(I102*D102,2)</f>
        <v>0</v>
      </c>
      <c r="O102" s="154">
        <f>SUM(L102:N102)</f>
        <v>89</v>
      </c>
    </row>
    <row r="103" spans="1:15" s="9" customFormat="1" ht="26.25" thickBot="1">
      <c r="A103" s="66" t="s">
        <v>383</v>
      </c>
      <c r="B103" s="12" t="s">
        <v>35</v>
      </c>
      <c r="C103" s="77" t="s">
        <v>33</v>
      </c>
      <c r="D103" s="77">
        <v>1</v>
      </c>
      <c r="E103" s="142"/>
      <c r="F103" s="58"/>
      <c r="G103" s="29"/>
      <c r="H103" s="29">
        <v>25</v>
      </c>
      <c r="I103" s="152">
        <f>ROUND(G103*$I$1,2)</f>
        <v>0</v>
      </c>
      <c r="J103" s="153">
        <f>SUM(G103:I103)</f>
        <v>25</v>
      </c>
      <c r="K103" s="154">
        <f>ROUND(D103*E103,2)</f>
        <v>0</v>
      </c>
      <c r="L103" s="154">
        <f>ROUND(D103*G103,2)</f>
        <v>0</v>
      </c>
      <c r="M103" s="154">
        <f>ROUND(D103*H103,2)</f>
        <v>25</v>
      </c>
      <c r="N103" s="154">
        <f>ROUND(I103*D103,2)</f>
        <v>0</v>
      </c>
      <c r="O103" s="154">
        <f>SUM(L103:N103)</f>
        <v>25</v>
      </c>
    </row>
    <row r="104" spans="1:15" s="9" customFormat="1" ht="15" customHeight="1" thickBot="1">
      <c r="A104" s="312" t="s">
        <v>262</v>
      </c>
      <c r="B104" s="313"/>
      <c r="C104" s="313"/>
      <c r="D104" s="313"/>
      <c r="E104" s="313"/>
      <c r="F104" s="313"/>
      <c r="G104" s="313"/>
      <c r="H104" s="313"/>
      <c r="I104" s="313"/>
      <c r="J104" s="314"/>
      <c r="K104" s="29"/>
      <c r="L104" s="29"/>
      <c r="M104" s="29"/>
      <c r="N104" s="29"/>
      <c r="O104" s="29"/>
    </row>
    <row r="105" spans="1:15" s="9" customFormat="1" ht="38.25">
      <c r="A105" s="66" t="s">
        <v>384</v>
      </c>
      <c r="B105" s="75" t="s">
        <v>263</v>
      </c>
      <c r="C105" s="76" t="s">
        <v>70</v>
      </c>
      <c r="D105" s="76">
        <v>0.12</v>
      </c>
      <c r="E105" s="143">
        <v>6.06</v>
      </c>
      <c r="F105" s="138">
        <f t="shared" ref="F105:F111" si="45">$F$1</f>
        <v>3.8</v>
      </c>
      <c r="G105" s="138">
        <f>ROUND(E105*F105,2)</f>
        <v>23.03</v>
      </c>
      <c r="H105" s="138"/>
      <c r="I105" s="138">
        <f t="shared" ref="I105:I110" si="46">ROUND(G105*$I$1,2)</f>
        <v>1.84</v>
      </c>
      <c r="J105" s="139">
        <f t="shared" ref="J105:J126" si="47">SUM(G105:I105)</f>
        <v>24.87</v>
      </c>
      <c r="K105" s="140">
        <f t="shared" ref="K105:K126" si="48">ROUND(D105*E105,2)</f>
        <v>0.73</v>
      </c>
      <c r="L105" s="140">
        <f t="shared" ref="L105:L126" si="49">ROUND(D105*G105,2)</f>
        <v>2.76</v>
      </c>
      <c r="M105" s="140">
        <f t="shared" ref="M105:M126" si="50">ROUND(D105*H105,2)</f>
        <v>0</v>
      </c>
      <c r="N105" s="140">
        <f t="shared" ref="N105:N126" si="51">ROUND(I105*D105,2)</f>
        <v>0.22</v>
      </c>
      <c r="O105" s="140">
        <f t="shared" ref="O105:O126" si="52">SUM(L105:N105)</f>
        <v>2.98</v>
      </c>
    </row>
    <row r="106" spans="1:15" s="9" customFormat="1" ht="15" customHeight="1">
      <c r="A106" s="66" t="s">
        <v>385</v>
      </c>
      <c r="B106" s="12" t="s">
        <v>69</v>
      </c>
      <c r="C106" s="80" t="s">
        <v>70</v>
      </c>
      <c r="D106" s="77">
        <f>D105*1.05</f>
        <v>0.126</v>
      </c>
      <c r="E106" s="141"/>
      <c r="F106" s="58"/>
      <c r="G106" s="29"/>
      <c r="H106" s="29">
        <v>46</v>
      </c>
      <c r="I106" s="152">
        <f t="shared" si="46"/>
        <v>0</v>
      </c>
      <c r="J106" s="153">
        <f t="shared" si="47"/>
        <v>46</v>
      </c>
      <c r="K106" s="154">
        <f t="shared" si="48"/>
        <v>0</v>
      </c>
      <c r="L106" s="154">
        <f t="shared" si="49"/>
        <v>0</v>
      </c>
      <c r="M106" s="154">
        <f t="shared" si="50"/>
        <v>5.8</v>
      </c>
      <c r="N106" s="154">
        <f t="shared" si="51"/>
        <v>0</v>
      </c>
      <c r="O106" s="154">
        <f t="shared" si="52"/>
        <v>5.8</v>
      </c>
    </row>
    <row r="107" spans="1:15" s="9" customFormat="1" ht="25.5">
      <c r="A107" s="66" t="s">
        <v>386</v>
      </c>
      <c r="B107" s="22" t="s">
        <v>264</v>
      </c>
      <c r="C107" s="81" t="s">
        <v>124</v>
      </c>
      <c r="D107" s="82">
        <v>10</v>
      </c>
      <c r="E107" s="143">
        <v>0.4</v>
      </c>
      <c r="F107" s="138">
        <f t="shared" si="45"/>
        <v>3.8</v>
      </c>
      <c r="G107" s="138">
        <f>ROUND(E107*F107,2)</f>
        <v>1.52</v>
      </c>
      <c r="H107" s="138"/>
      <c r="I107" s="138">
        <f t="shared" si="46"/>
        <v>0.12</v>
      </c>
      <c r="J107" s="139">
        <f t="shared" si="47"/>
        <v>1.6400000000000001</v>
      </c>
      <c r="K107" s="140">
        <f t="shared" si="48"/>
        <v>4</v>
      </c>
      <c r="L107" s="140">
        <f t="shared" si="49"/>
        <v>15.2</v>
      </c>
      <c r="M107" s="140">
        <f t="shared" si="50"/>
        <v>0</v>
      </c>
      <c r="N107" s="140">
        <f t="shared" si="51"/>
        <v>1.2</v>
      </c>
      <c r="O107" s="140">
        <f t="shared" si="52"/>
        <v>16.399999999999999</v>
      </c>
    </row>
    <row r="108" spans="1:15" s="9" customFormat="1" ht="15" customHeight="1">
      <c r="A108" s="66" t="s">
        <v>387</v>
      </c>
      <c r="B108" s="83" t="s">
        <v>265</v>
      </c>
      <c r="C108" s="16" t="s">
        <v>12</v>
      </c>
      <c r="D108" s="84">
        <f>SUM(D107*0.1)*1.5</f>
        <v>1.5</v>
      </c>
      <c r="E108" s="141"/>
      <c r="F108" s="58"/>
      <c r="G108" s="29"/>
      <c r="H108" s="29">
        <v>11</v>
      </c>
      <c r="I108" s="152">
        <f t="shared" si="46"/>
        <v>0</v>
      </c>
      <c r="J108" s="153">
        <f t="shared" si="47"/>
        <v>11</v>
      </c>
      <c r="K108" s="154">
        <f t="shared" si="48"/>
        <v>0</v>
      </c>
      <c r="L108" s="154">
        <f t="shared" si="49"/>
        <v>0</v>
      </c>
      <c r="M108" s="154">
        <f t="shared" si="50"/>
        <v>16.5</v>
      </c>
      <c r="N108" s="154">
        <f t="shared" si="51"/>
        <v>0</v>
      </c>
      <c r="O108" s="154">
        <f t="shared" si="52"/>
        <v>16.5</v>
      </c>
    </row>
    <row r="109" spans="1:15" s="9" customFormat="1" ht="15" customHeight="1">
      <c r="A109" s="66" t="s">
        <v>388</v>
      </c>
      <c r="B109" s="22" t="s">
        <v>125</v>
      </c>
      <c r="C109" s="81" t="s">
        <v>124</v>
      </c>
      <c r="D109" s="82">
        <v>10</v>
      </c>
      <c r="E109" s="143">
        <v>1</v>
      </c>
      <c r="F109" s="138">
        <f t="shared" si="45"/>
        <v>3.8</v>
      </c>
      <c r="G109" s="138">
        <f>ROUND(E109*F109,2)</f>
        <v>3.8</v>
      </c>
      <c r="H109" s="138"/>
      <c r="I109" s="138">
        <f t="shared" si="46"/>
        <v>0.3</v>
      </c>
      <c r="J109" s="139">
        <f t="shared" si="47"/>
        <v>4.0999999999999996</v>
      </c>
      <c r="K109" s="140">
        <f t="shared" si="48"/>
        <v>10</v>
      </c>
      <c r="L109" s="140">
        <f t="shared" si="49"/>
        <v>38</v>
      </c>
      <c r="M109" s="140">
        <f t="shared" si="50"/>
        <v>0</v>
      </c>
      <c r="N109" s="140">
        <f t="shared" si="51"/>
        <v>3</v>
      </c>
      <c r="O109" s="140">
        <f t="shared" si="52"/>
        <v>41</v>
      </c>
    </row>
    <row r="110" spans="1:15" s="9" customFormat="1" ht="15" customHeight="1">
      <c r="A110" s="66" t="s">
        <v>389</v>
      </c>
      <c r="B110" s="44" t="s">
        <v>71</v>
      </c>
      <c r="C110" s="16" t="s">
        <v>12</v>
      </c>
      <c r="D110" s="77">
        <f>SUM(D109*0.05)*1.05</f>
        <v>0.52500000000000002</v>
      </c>
      <c r="E110" s="141"/>
      <c r="F110" s="58"/>
      <c r="G110" s="29"/>
      <c r="H110" s="29">
        <v>41.5</v>
      </c>
      <c r="I110" s="152">
        <f t="shared" si="46"/>
        <v>0</v>
      </c>
      <c r="J110" s="153">
        <f t="shared" si="47"/>
        <v>41.5</v>
      </c>
      <c r="K110" s="154">
        <f t="shared" si="48"/>
        <v>0</v>
      </c>
      <c r="L110" s="154">
        <f t="shared" si="49"/>
        <v>0</v>
      </c>
      <c r="M110" s="154">
        <f t="shared" si="50"/>
        <v>21.79</v>
      </c>
      <c r="N110" s="154">
        <f t="shared" si="51"/>
        <v>0</v>
      </c>
      <c r="O110" s="154">
        <f t="shared" si="52"/>
        <v>21.79</v>
      </c>
    </row>
    <row r="111" spans="1:15" s="9" customFormat="1" ht="15" customHeight="1">
      <c r="A111" s="66" t="s">
        <v>390</v>
      </c>
      <c r="B111" s="22" t="s">
        <v>126</v>
      </c>
      <c r="C111" s="81" t="s">
        <v>124</v>
      </c>
      <c r="D111" s="82">
        <v>10</v>
      </c>
      <c r="E111" s="143">
        <v>0.2</v>
      </c>
      <c r="F111" s="138">
        <f t="shared" si="45"/>
        <v>3.8</v>
      </c>
      <c r="G111" s="138">
        <f>ROUND(E111*F111,2)</f>
        <v>0.76</v>
      </c>
      <c r="H111" s="138"/>
      <c r="I111" s="138">
        <f>ROUND(G111*$I$1,2)+0.2</f>
        <v>0.26</v>
      </c>
      <c r="J111" s="139">
        <f t="shared" si="47"/>
        <v>1.02</v>
      </c>
      <c r="K111" s="140">
        <f t="shared" si="48"/>
        <v>2</v>
      </c>
      <c r="L111" s="140">
        <f t="shared" si="49"/>
        <v>7.6</v>
      </c>
      <c r="M111" s="140">
        <f t="shared" si="50"/>
        <v>0</v>
      </c>
      <c r="N111" s="140">
        <f t="shared" si="51"/>
        <v>2.6</v>
      </c>
      <c r="O111" s="140">
        <f t="shared" si="52"/>
        <v>10.199999999999999</v>
      </c>
    </row>
    <row r="112" spans="1:15" s="9" customFormat="1" ht="15" customHeight="1">
      <c r="A112" s="66" t="s">
        <v>391</v>
      </c>
      <c r="B112" s="44" t="s">
        <v>72</v>
      </c>
      <c r="C112" s="16" t="s">
        <v>43</v>
      </c>
      <c r="D112" s="77">
        <f>SUM(D111*2.2)</f>
        <v>22</v>
      </c>
      <c r="E112" s="142"/>
      <c r="F112" s="58"/>
      <c r="G112" s="29"/>
      <c r="H112" s="29">
        <v>0.9</v>
      </c>
      <c r="I112" s="152">
        <f>ROUND(G112*$I$1,2)</f>
        <v>0</v>
      </c>
      <c r="J112" s="153">
        <f t="shared" si="47"/>
        <v>0.9</v>
      </c>
      <c r="K112" s="154">
        <f t="shared" si="48"/>
        <v>0</v>
      </c>
      <c r="L112" s="154">
        <f t="shared" si="49"/>
        <v>0</v>
      </c>
      <c r="M112" s="154">
        <f t="shared" si="50"/>
        <v>19.8</v>
      </c>
      <c r="N112" s="154">
        <f t="shared" si="51"/>
        <v>0</v>
      </c>
      <c r="O112" s="154">
        <f t="shared" si="52"/>
        <v>19.8</v>
      </c>
    </row>
    <row r="113" spans="1:15" s="9" customFormat="1" ht="15" customHeight="1">
      <c r="A113" s="66" t="s">
        <v>392</v>
      </c>
      <c r="B113" s="44" t="s">
        <v>73</v>
      </c>
      <c r="C113" s="16" t="s">
        <v>74</v>
      </c>
      <c r="D113" s="77">
        <f>SUM(D111*1.8)</f>
        <v>18</v>
      </c>
      <c r="E113" s="141"/>
      <c r="F113" s="58"/>
      <c r="G113" s="29"/>
      <c r="H113" s="29">
        <v>1.03</v>
      </c>
      <c r="I113" s="152">
        <f>ROUND(G113*$I$1,2)</f>
        <v>0</v>
      </c>
      <c r="J113" s="153">
        <f t="shared" si="47"/>
        <v>1.03</v>
      </c>
      <c r="K113" s="154">
        <f t="shared" si="48"/>
        <v>0</v>
      </c>
      <c r="L113" s="154">
        <f t="shared" si="49"/>
        <v>0</v>
      </c>
      <c r="M113" s="154">
        <f t="shared" si="50"/>
        <v>18.54</v>
      </c>
      <c r="N113" s="154">
        <f t="shared" si="51"/>
        <v>0</v>
      </c>
      <c r="O113" s="154">
        <f t="shared" si="52"/>
        <v>18.54</v>
      </c>
    </row>
    <row r="114" spans="1:15" s="9" customFormat="1" ht="15" customHeight="1">
      <c r="A114" s="66" t="s">
        <v>393</v>
      </c>
      <c r="B114" s="22" t="s">
        <v>127</v>
      </c>
      <c r="C114" s="81" t="s">
        <v>124</v>
      </c>
      <c r="D114" s="82">
        <v>10</v>
      </c>
      <c r="E114" s="143">
        <v>0.3</v>
      </c>
      <c r="F114" s="138">
        <f>$F$1</f>
        <v>3.8</v>
      </c>
      <c r="G114" s="138">
        <f>ROUND(E114*F114,2)</f>
        <v>1.1399999999999999</v>
      </c>
      <c r="H114" s="138"/>
      <c r="I114" s="138">
        <f>ROUND(G114*$I$1,2)+0.2</f>
        <v>0.29000000000000004</v>
      </c>
      <c r="J114" s="139">
        <f t="shared" si="47"/>
        <v>1.43</v>
      </c>
      <c r="K114" s="140">
        <f t="shared" si="48"/>
        <v>3</v>
      </c>
      <c r="L114" s="140">
        <f t="shared" si="49"/>
        <v>11.4</v>
      </c>
      <c r="M114" s="140">
        <f t="shared" si="50"/>
        <v>0</v>
      </c>
      <c r="N114" s="140">
        <f t="shared" si="51"/>
        <v>2.9</v>
      </c>
      <c r="O114" s="140">
        <f t="shared" si="52"/>
        <v>14.3</v>
      </c>
    </row>
    <row r="115" spans="1:15" s="9" customFormat="1" ht="15" customHeight="1">
      <c r="A115" s="66" t="s">
        <v>394</v>
      </c>
      <c r="B115" s="44" t="s">
        <v>75</v>
      </c>
      <c r="C115" s="16" t="s">
        <v>128</v>
      </c>
      <c r="D115" s="84">
        <f>SUM(D114*1.03)</f>
        <v>10.3</v>
      </c>
      <c r="E115" s="141"/>
      <c r="F115" s="58"/>
      <c r="G115" s="29"/>
      <c r="H115" s="29">
        <v>3.31</v>
      </c>
      <c r="I115" s="152">
        <f>ROUND(G115*$I$1,2)</f>
        <v>0</v>
      </c>
      <c r="J115" s="153">
        <f t="shared" si="47"/>
        <v>3.31</v>
      </c>
      <c r="K115" s="154">
        <f t="shared" si="48"/>
        <v>0</v>
      </c>
      <c r="L115" s="154">
        <f t="shared" si="49"/>
        <v>0</v>
      </c>
      <c r="M115" s="154">
        <f t="shared" si="50"/>
        <v>34.090000000000003</v>
      </c>
      <c r="N115" s="154">
        <f t="shared" si="51"/>
        <v>0</v>
      </c>
      <c r="O115" s="154">
        <f t="shared" si="52"/>
        <v>34.090000000000003</v>
      </c>
    </row>
    <row r="116" spans="1:15" s="9" customFormat="1" ht="15" customHeight="1">
      <c r="A116" s="66" t="s">
        <v>395</v>
      </c>
      <c r="B116" s="44" t="s">
        <v>0</v>
      </c>
      <c r="C116" s="16" t="s">
        <v>46</v>
      </c>
      <c r="D116" s="84">
        <v>1</v>
      </c>
      <c r="E116" s="141"/>
      <c r="F116" s="58"/>
      <c r="G116" s="29"/>
      <c r="H116" s="29">
        <v>1.6</v>
      </c>
      <c r="I116" s="152">
        <f>ROUND(G116*$I$1,2)</f>
        <v>0</v>
      </c>
      <c r="J116" s="153">
        <f t="shared" si="47"/>
        <v>1.6</v>
      </c>
      <c r="K116" s="154">
        <f t="shared" si="48"/>
        <v>0</v>
      </c>
      <c r="L116" s="154">
        <f t="shared" si="49"/>
        <v>0</v>
      </c>
      <c r="M116" s="154">
        <f t="shared" si="50"/>
        <v>1.6</v>
      </c>
      <c r="N116" s="154">
        <f t="shared" si="51"/>
        <v>0</v>
      </c>
      <c r="O116" s="154">
        <f t="shared" si="52"/>
        <v>1.6</v>
      </c>
    </row>
    <row r="117" spans="1:15" s="9" customFormat="1" ht="15" customHeight="1">
      <c r="A117" s="66" t="s">
        <v>396</v>
      </c>
      <c r="B117" s="22" t="s">
        <v>129</v>
      </c>
      <c r="C117" s="81" t="s">
        <v>124</v>
      </c>
      <c r="D117" s="82">
        <v>10</v>
      </c>
      <c r="E117" s="143">
        <v>0.6</v>
      </c>
      <c r="F117" s="138">
        <f t="shared" ref="F117:F125" si="53">$F$1</f>
        <v>3.8</v>
      </c>
      <c r="G117" s="138">
        <f>ROUND(E117*F117,2)</f>
        <v>2.2799999999999998</v>
      </c>
      <c r="H117" s="138"/>
      <c r="I117" s="138">
        <f>ROUND(G117*$I$1,2)+0.2</f>
        <v>0.38</v>
      </c>
      <c r="J117" s="139">
        <f t="shared" si="47"/>
        <v>2.6599999999999997</v>
      </c>
      <c r="K117" s="140">
        <f t="shared" si="48"/>
        <v>6</v>
      </c>
      <c r="L117" s="140">
        <f t="shared" si="49"/>
        <v>22.8</v>
      </c>
      <c r="M117" s="140">
        <f t="shared" si="50"/>
        <v>0</v>
      </c>
      <c r="N117" s="140">
        <f t="shared" si="51"/>
        <v>3.8</v>
      </c>
      <c r="O117" s="140">
        <f t="shared" si="52"/>
        <v>26.6</v>
      </c>
    </row>
    <row r="118" spans="1:15" s="9" customFormat="1" ht="15" customHeight="1">
      <c r="A118" s="66" t="s">
        <v>397</v>
      </c>
      <c r="B118" s="83" t="s">
        <v>45</v>
      </c>
      <c r="C118" s="16" t="s">
        <v>12</v>
      </c>
      <c r="D118" s="77">
        <f>SUM(D117*0.05)*1.04</f>
        <v>0.52</v>
      </c>
      <c r="E118" s="141"/>
      <c r="F118" s="58"/>
      <c r="G118" s="29"/>
      <c r="H118" s="29">
        <v>45</v>
      </c>
      <c r="I118" s="152">
        <f t="shared" ref="I118:I126" si="54">ROUND(G118*$I$1,2)</f>
        <v>0</v>
      </c>
      <c r="J118" s="153">
        <f t="shared" si="47"/>
        <v>45</v>
      </c>
      <c r="K118" s="154">
        <f t="shared" si="48"/>
        <v>0</v>
      </c>
      <c r="L118" s="154">
        <f t="shared" si="49"/>
        <v>0</v>
      </c>
      <c r="M118" s="154">
        <f t="shared" si="50"/>
        <v>23.4</v>
      </c>
      <c r="N118" s="154">
        <f t="shared" si="51"/>
        <v>0</v>
      </c>
      <c r="O118" s="154">
        <f t="shared" si="52"/>
        <v>23.4</v>
      </c>
    </row>
    <row r="119" spans="1:15" s="9" customFormat="1" ht="38.25">
      <c r="A119" s="66" t="s">
        <v>398</v>
      </c>
      <c r="B119" s="22" t="s">
        <v>266</v>
      </c>
      <c r="C119" s="69" t="s">
        <v>76</v>
      </c>
      <c r="D119" s="82">
        <v>30</v>
      </c>
      <c r="E119" s="143">
        <v>0.75</v>
      </c>
      <c r="F119" s="138">
        <f t="shared" si="53"/>
        <v>3.8</v>
      </c>
      <c r="G119" s="138">
        <f>ROUND(E119*F119,2)</f>
        <v>2.85</v>
      </c>
      <c r="H119" s="138"/>
      <c r="I119" s="138">
        <f t="shared" si="54"/>
        <v>0.23</v>
      </c>
      <c r="J119" s="139">
        <f t="shared" si="47"/>
        <v>3.08</v>
      </c>
      <c r="K119" s="140">
        <f t="shared" si="48"/>
        <v>22.5</v>
      </c>
      <c r="L119" s="140">
        <f t="shared" si="49"/>
        <v>85.5</v>
      </c>
      <c r="M119" s="140">
        <f t="shared" si="50"/>
        <v>0</v>
      </c>
      <c r="N119" s="140">
        <f t="shared" si="51"/>
        <v>6.9</v>
      </c>
      <c r="O119" s="140">
        <f t="shared" si="52"/>
        <v>92.4</v>
      </c>
    </row>
    <row r="120" spans="1:15" s="9" customFormat="1" ht="15" customHeight="1">
      <c r="A120" s="66" t="s">
        <v>399</v>
      </c>
      <c r="B120" s="12" t="s">
        <v>267</v>
      </c>
      <c r="C120" s="16" t="s">
        <v>41</v>
      </c>
      <c r="D120" s="77">
        <f>0.9*10*D119</f>
        <v>270</v>
      </c>
      <c r="E120" s="141"/>
      <c r="F120" s="58"/>
      <c r="G120" s="29"/>
      <c r="H120" s="29">
        <v>7.4999999999999997E-2</v>
      </c>
      <c r="I120" s="152">
        <f t="shared" si="54"/>
        <v>0</v>
      </c>
      <c r="J120" s="153">
        <f t="shared" si="47"/>
        <v>7.4999999999999997E-2</v>
      </c>
      <c r="K120" s="154">
        <f t="shared" si="48"/>
        <v>0</v>
      </c>
      <c r="L120" s="154">
        <f t="shared" si="49"/>
        <v>0</v>
      </c>
      <c r="M120" s="154">
        <f t="shared" si="50"/>
        <v>20.25</v>
      </c>
      <c r="N120" s="154">
        <f t="shared" si="51"/>
        <v>0</v>
      </c>
      <c r="O120" s="154">
        <f t="shared" si="52"/>
        <v>20.25</v>
      </c>
    </row>
    <row r="121" spans="1:15" s="145" customFormat="1" ht="25.5">
      <c r="A121" s="66" t="s">
        <v>400</v>
      </c>
      <c r="B121" s="22" t="s">
        <v>130</v>
      </c>
      <c r="C121" s="158" t="s">
        <v>43</v>
      </c>
      <c r="D121" s="158">
        <v>10</v>
      </c>
      <c r="E121" s="143">
        <v>0.23</v>
      </c>
      <c r="F121" s="138">
        <f t="shared" si="53"/>
        <v>3.8</v>
      </c>
      <c r="G121" s="138">
        <f>ROUND(E121*F121,2)</f>
        <v>0.87</v>
      </c>
      <c r="H121" s="138"/>
      <c r="I121" s="138">
        <f t="shared" si="54"/>
        <v>7.0000000000000007E-2</v>
      </c>
      <c r="J121" s="139">
        <f t="shared" si="47"/>
        <v>0.94</v>
      </c>
      <c r="K121" s="140">
        <f t="shared" si="48"/>
        <v>2.2999999999999998</v>
      </c>
      <c r="L121" s="140">
        <f t="shared" si="49"/>
        <v>8.6999999999999993</v>
      </c>
      <c r="M121" s="140">
        <f t="shared" si="50"/>
        <v>0</v>
      </c>
      <c r="N121" s="140">
        <f t="shared" si="51"/>
        <v>0.7</v>
      </c>
      <c r="O121" s="140">
        <f t="shared" si="52"/>
        <v>9.3999999999999986</v>
      </c>
    </row>
    <row r="122" spans="1:15" s="9" customFormat="1" ht="15" customHeight="1">
      <c r="A122" s="66" t="s">
        <v>401</v>
      </c>
      <c r="B122" s="85" t="s">
        <v>268</v>
      </c>
      <c r="C122" s="16" t="s">
        <v>74</v>
      </c>
      <c r="D122" s="77">
        <v>5</v>
      </c>
      <c r="E122" s="141"/>
      <c r="F122" s="58"/>
      <c r="G122" s="29"/>
      <c r="H122" s="29">
        <v>6.5</v>
      </c>
      <c r="I122" s="152">
        <f t="shared" si="54"/>
        <v>0</v>
      </c>
      <c r="J122" s="153">
        <f t="shared" si="47"/>
        <v>6.5</v>
      </c>
      <c r="K122" s="154">
        <f t="shared" si="48"/>
        <v>0</v>
      </c>
      <c r="L122" s="154">
        <f t="shared" si="49"/>
        <v>0</v>
      </c>
      <c r="M122" s="154">
        <f t="shared" si="50"/>
        <v>32.5</v>
      </c>
      <c r="N122" s="154">
        <f t="shared" si="51"/>
        <v>0</v>
      </c>
      <c r="O122" s="154">
        <f t="shared" si="52"/>
        <v>32.5</v>
      </c>
    </row>
    <row r="123" spans="1:15" s="9" customFormat="1" ht="38.25">
      <c r="A123" s="66" t="s">
        <v>402</v>
      </c>
      <c r="B123" s="22" t="s">
        <v>269</v>
      </c>
      <c r="C123" s="69" t="s">
        <v>76</v>
      </c>
      <c r="D123" s="82">
        <v>5</v>
      </c>
      <c r="E123" s="143">
        <v>0.79</v>
      </c>
      <c r="F123" s="138">
        <f t="shared" si="53"/>
        <v>3.8</v>
      </c>
      <c r="G123" s="138">
        <f>ROUND(E123*F123,2)</f>
        <v>3</v>
      </c>
      <c r="H123" s="138"/>
      <c r="I123" s="138">
        <f t="shared" si="54"/>
        <v>0.24</v>
      </c>
      <c r="J123" s="139">
        <f t="shared" si="47"/>
        <v>3.24</v>
      </c>
      <c r="K123" s="140">
        <f t="shared" si="48"/>
        <v>3.95</v>
      </c>
      <c r="L123" s="140">
        <f t="shared" si="49"/>
        <v>15</v>
      </c>
      <c r="M123" s="140">
        <f t="shared" si="50"/>
        <v>0</v>
      </c>
      <c r="N123" s="140">
        <f t="shared" si="51"/>
        <v>1.2</v>
      </c>
      <c r="O123" s="140">
        <f t="shared" si="52"/>
        <v>16.2</v>
      </c>
    </row>
    <row r="124" spans="1:15" s="9" customFormat="1" ht="25.5">
      <c r="A124" s="66" t="s">
        <v>403</v>
      </c>
      <c r="B124" s="12" t="s">
        <v>270</v>
      </c>
      <c r="C124" s="16" t="s">
        <v>41</v>
      </c>
      <c r="D124" s="77">
        <f>0.9*5*D123</f>
        <v>22.5</v>
      </c>
      <c r="E124" s="141"/>
      <c r="F124" s="58"/>
      <c r="G124" s="29"/>
      <c r="H124" s="29">
        <v>7.4999999999999997E-2</v>
      </c>
      <c r="I124" s="152">
        <f t="shared" si="54"/>
        <v>0</v>
      </c>
      <c r="J124" s="153">
        <f t="shared" si="47"/>
        <v>7.4999999999999997E-2</v>
      </c>
      <c r="K124" s="154">
        <f t="shared" si="48"/>
        <v>0</v>
      </c>
      <c r="L124" s="154">
        <f t="shared" si="49"/>
        <v>0</v>
      </c>
      <c r="M124" s="154">
        <f t="shared" si="50"/>
        <v>1.69</v>
      </c>
      <c r="N124" s="154">
        <f t="shared" si="51"/>
        <v>0</v>
      </c>
      <c r="O124" s="154">
        <f t="shared" si="52"/>
        <v>1.69</v>
      </c>
    </row>
    <row r="125" spans="1:15" s="9" customFormat="1" ht="25.5">
      <c r="A125" s="66" t="s">
        <v>404</v>
      </c>
      <c r="B125" s="22" t="s">
        <v>271</v>
      </c>
      <c r="C125" s="69" t="s">
        <v>76</v>
      </c>
      <c r="D125" s="82">
        <v>1.8</v>
      </c>
      <c r="E125" s="143">
        <v>0.8</v>
      </c>
      <c r="F125" s="138">
        <f t="shared" si="53"/>
        <v>3.8</v>
      </c>
      <c r="G125" s="138">
        <f>ROUND(E125*F125,2)</f>
        <v>3.04</v>
      </c>
      <c r="H125" s="138"/>
      <c r="I125" s="138">
        <f t="shared" si="54"/>
        <v>0.24</v>
      </c>
      <c r="J125" s="139">
        <f t="shared" si="47"/>
        <v>3.2800000000000002</v>
      </c>
      <c r="K125" s="140">
        <f t="shared" si="48"/>
        <v>1.44</v>
      </c>
      <c r="L125" s="140">
        <f t="shared" si="49"/>
        <v>5.47</v>
      </c>
      <c r="M125" s="140">
        <f t="shared" si="50"/>
        <v>0</v>
      </c>
      <c r="N125" s="140">
        <f t="shared" si="51"/>
        <v>0.43</v>
      </c>
      <c r="O125" s="140">
        <f t="shared" si="52"/>
        <v>5.8999999999999995</v>
      </c>
    </row>
    <row r="126" spans="1:15" s="9" customFormat="1" ht="26.25" thickBot="1">
      <c r="A126" s="66" t="s">
        <v>405</v>
      </c>
      <c r="B126" s="86" t="s">
        <v>272</v>
      </c>
      <c r="C126" s="87" t="s">
        <v>14</v>
      </c>
      <c r="D126" s="88">
        <v>1</v>
      </c>
      <c r="E126" s="141"/>
      <c r="F126" s="58"/>
      <c r="G126" s="29"/>
      <c r="H126" s="29">
        <v>7.01</v>
      </c>
      <c r="I126" s="152">
        <f t="shared" si="54"/>
        <v>0</v>
      </c>
      <c r="J126" s="153">
        <f t="shared" si="47"/>
        <v>7.01</v>
      </c>
      <c r="K126" s="154">
        <f t="shared" si="48"/>
        <v>0</v>
      </c>
      <c r="L126" s="154">
        <f t="shared" si="49"/>
        <v>0</v>
      </c>
      <c r="M126" s="154">
        <f t="shared" si="50"/>
        <v>7.01</v>
      </c>
      <c r="N126" s="154">
        <f t="shared" si="51"/>
        <v>0</v>
      </c>
      <c r="O126" s="154">
        <f t="shared" si="52"/>
        <v>7.01</v>
      </c>
    </row>
    <row r="127" spans="1:15" s="9" customFormat="1" ht="15" customHeight="1" thickBot="1">
      <c r="A127" s="312" t="s">
        <v>273</v>
      </c>
      <c r="B127" s="313"/>
      <c r="C127" s="313"/>
      <c r="D127" s="313"/>
      <c r="E127" s="313"/>
      <c r="F127" s="313"/>
      <c r="G127" s="313"/>
      <c r="H127" s="313"/>
      <c r="I127" s="313"/>
      <c r="J127" s="314"/>
      <c r="K127" s="29"/>
      <c r="L127" s="29"/>
      <c r="M127" s="29"/>
      <c r="N127" s="29"/>
      <c r="O127" s="29"/>
    </row>
    <row r="128" spans="1:15" s="9" customFormat="1">
      <c r="A128" s="66" t="s">
        <v>406</v>
      </c>
      <c r="B128" s="78" t="s">
        <v>275</v>
      </c>
      <c r="C128" s="79" t="s">
        <v>43</v>
      </c>
      <c r="D128" s="79">
        <v>60</v>
      </c>
      <c r="E128" s="143">
        <v>0.35</v>
      </c>
      <c r="F128" s="138">
        <f>$F$1</f>
        <v>3.8</v>
      </c>
      <c r="G128" s="138">
        <f>ROUND(E128*F128,2)</f>
        <v>1.33</v>
      </c>
      <c r="H128" s="138"/>
      <c r="I128" s="138">
        <f t="shared" ref="I128:I141" si="55">ROUND(G128*$I$1,2)</f>
        <v>0.11</v>
      </c>
      <c r="J128" s="139">
        <f t="shared" ref="J128:J141" si="56">SUM(G128:I128)</f>
        <v>1.4400000000000002</v>
      </c>
      <c r="K128" s="140">
        <f t="shared" ref="K128:K141" si="57">ROUND(D128*E128,2)</f>
        <v>21</v>
      </c>
      <c r="L128" s="140">
        <f t="shared" ref="L128:L141" si="58">ROUND(D128*G128,2)</f>
        <v>79.8</v>
      </c>
      <c r="M128" s="140">
        <f t="shared" ref="M128:M141" si="59">ROUND(D128*H128,2)</f>
        <v>0</v>
      </c>
      <c r="N128" s="140">
        <f t="shared" ref="N128:N141" si="60">ROUND(I128*D128,2)</f>
        <v>6.6</v>
      </c>
      <c r="O128" s="140">
        <f t="shared" ref="O128:O141" si="61">SUM(L128:N128)</f>
        <v>86.399999999999991</v>
      </c>
    </row>
    <row r="129" spans="1:15" s="9" customFormat="1" ht="25.5">
      <c r="A129" s="66" t="s">
        <v>407</v>
      </c>
      <c r="B129" s="86" t="s">
        <v>276</v>
      </c>
      <c r="C129" s="87" t="s">
        <v>41</v>
      </c>
      <c r="D129" s="88">
        <f>D128*0.4</f>
        <v>24</v>
      </c>
      <c r="E129" s="141"/>
      <c r="F129" s="58"/>
      <c r="G129" s="29"/>
      <c r="H129" s="29">
        <v>0.59</v>
      </c>
      <c r="I129" s="152">
        <f t="shared" si="55"/>
        <v>0</v>
      </c>
      <c r="J129" s="153">
        <f t="shared" si="56"/>
        <v>0.59</v>
      </c>
      <c r="K129" s="154">
        <f t="shared" si="57"/>
        <v>0</v>
      </c>
      <c r="L129" s="154">
        <f t="shared" si="58"/>
        <v>0</v>
      </c>
      <c r="M129" s="154">
        <f t="shared" si="59"/>
        <v>14.16</v>
      </c>
      <c r="N129" s="154">
        <f t="shared" si="60"/>
        <v>0</v>
      </c>
      <c r="O129" s="154">
        <f t="shared" si="61"/>
        <v>14.16</v>
      </c>
    </row>
    <row r="130" spans="1:15" s="9" customFormat="1" ht="25.5">
      <c r="A130" s="66" t="s">
        <v>408</v>
      </c>
      <c r="B130" s="22" t="s">
        <v>274</v>
      </c>
      <c r="C130" s="69" t="s">
        <v>243</v>
      </c>
      <c r="D130" s="82">
        <v>7</v>
      </c>
      <c r="E130" s="143">
        <v>0.82</v>
      </c>
      <c r="F130" s="138">
        <f>$F$1</f>
        <v>3.8</v>
      </c>
      <c r="G130" s="138">
        <f>ROUND(E130*F130,2)</f>
        <v>3.12</v>
      </c>
      <c r="H130" s="138"/>
      <c r="I130" s="138">
        <f t="shared" si="55"/>
        <v>0.25</v>
      </c>
      <c r="J130" s="139">
        <f t="shared" si="56"/>
        <v>3.37</v>
      </c>
      <c r="K130" s="140">
        <f t="shared" si="57"/>
        <v>5.74</v>
      </c>
      <c r="L130" s="140">
        <f t="shared" si="58"/>
        <v>21.84</v>
      </c>
      <c r="M130" s="140">
        <f t="shared" si="59"/>
        <v>0</v>
      </c>
      <c r="N130" s="140">
        <f t="shared" si="60"/>
        <v>1.75</v>
      </c>
      <c r="O130" s="140">
        <f t="shared" si="61"/>
        <v>23.59</v>
      </c>
    </row>
    <row r="131" spans="1:15" s="9" customFormat="1" ht="15" customHeight="1">
      <c r="A131" s="66" t="s">
        <v>409</v>
      </c>
      <c r="B131" s="12" t="s">
        <v>131</v>
      </c>
      <c r="C131" s="16" t="s">
        <v>44</v>
      </c>
      <c r="D131" s="77">
        <v>0.56499999999999995</v>
      </c>
      <c r="E131" s="141"/>
      <c r="F131" s="58"/>
      <c r="G131" s="29"/>
      <c r="H131" s="29">
        <v>160</v>
      </c>
      <c r="I131" s="152">
        <f t="shared" si="55"/>
        <v>0</v>
      </c>
      <c r="J131" s="153">
        <f t="shared" si="56"/>
        <v>160</v>
      </c>
      <c r="K131" s="154">
        <f t="shared" si="57"/>
        <v>0</v>
      </c>
      <c r="L131" s="154">
        <f t="shared" si="58"/>
        <v>0</v>
      </c>
      <c r="M131" s="154">
        <f t="shared" si="59"/>
        <v>90.4</v>
      </c>
      <c r="N131" s="154">
        <f t="shared" si="60"/>
        <v>0</v>
      </c>
      <c r="O131" s="154">
        <f t="shared" si="61"/>
        <v>90.4</v>
      </c>
    </row>
    <row r="132" spans="1:15" s="9" customFormat="1" ht="15" customHeight="1">
      <c r="A132" s="66" t="s">
        <v>410</v>
      </c>
      <c r="B132" s="12" t="s">
        <v>132</v>
      </c>
      <c r="C132" s="16" t="s">
        <v>44</v>
      </c>
      <c r="D132" s="89">
        <v>0.70799999999999996</v>
      </c>
      <c r="E132" s="141"/>
      <c r="F132" s="58"/>
      <c r="G132" s="29"/>
      <c r="H132" s="29">
        <v>160</v>
      </c>
      <c r="I132" s="152">
        <f t="shared" si="55"/>
        <v>0</v>
      </c>
      <c r="J132" s="153">
        <f t="shared" si="56"/>
        <v>160</v>
      </c>
      <c r="K132" s="154">
        <f t="shared" si="57"/>
        <v>0</v>
      </c>
      <c r="L132" s="154">
        <f t="shared" si="58"/>
        <v>0</v>
      </c>
      <c r="M132" s="154">
        <f t="shared" si="59"/>
        <v>113.28</v>
      </c>
      <c r="N132" s="154">
        <f t="shared" si="60"/>
        <v>0</v>
      </c>
      <c r="O132" s="154">
        <f t="shared" si="61"/>
        <v>113.28</v>
      </c>
    </row>
    <row r="133" spans="1:15" s="9" customFormat="1" ht="15" customHeight="1">
      <c r="A133" s="66" t="s">
        <v>411</v>
      </c>
      <c r="B133" s="44" t="s">
        <v>0</v>
      </c>
      <c r="C133" s="16" t="s">
        <v>243</v>
      </c>
      <c r="D133" s="90">
        <v>1</v>
      </c>
      <c r="E133" s="142"/>
      <c r="F133" s="58"/>
      <c r="G133" s="29"/>
      <c r="H133" s="29">
        <v>25</v>
      </c>
      <c r="I133" s="152">
        <f t="shared" si="55"/>
        <v>0</v>
      </c>
      <c r="J133" s="153">
        <f t="shared" si="56"/>
        <v>25</v>
      </c>
      <c r="K133" s="154">
        <f t="shared" si="57"/>
        <v>0</v>
      </c>
      <c r="L133" s="154">
        <f t="shared" si="58"/>
        <v>0</v>
      </c>
      <c r="M133" s="154">
        <f t="shared" si="59"/>
        <v>25</v>
      </c>
      <c r="N133" s="154">
        <f t="shared" si="60"/>
        <v>0</v>
      </c>
      <c r="O133" s="154">
        <f t="shared" si="61"/>
        <v>25</v>
      </c>
    </row>
    <row r="134" spans="1:15" s="9" customFormat="1" ht="15" customHeight="1">
      <c r="A134" s="66" t="s">
        <v>412</v>
      </c>
      <c r="B134" s="71" t="s">
        <v>133</v>
      </c>
      <c r="C134" s="69" t="s">
        <v>36</v>
      </c>
      <c r="D134" s="82">
        <v>17</v>
      </c>
      <c r="E134" s="143">
        <v>0.75</v>
      </c>
      <c r="F134" s="138">
        <f>$F$1</f>
        <v>3.8</v>
      </c>
      <c r="G134" s="138">
        <f>ROUND(E134*F134,2)</f>
        <v>2.85</v>
      </c>
      <c r="H134" s="138"/>
      <c r="I134" s="138">
        <f t="shared" si="55"/>
        <v>0.23</v>
      </c>
      <c r="J134" s="139">
        <f t="shared" si="56"/>
        <v>3.08</v>
      </c>
      <c r="K134" s="140">
        <f t="shared" si="57"/>
        <v>12.75</v>
      </c>
      <c r="L134" s="140">
        <f t="shared" si="58"/>
        <v>48.45</v>
      </c>
      <c r="M134" s="140">
        <f t="shared" si="59"/>
        <v>0</v>
      </c>
      <c r="N134" s="140">
        <f t="shared" si="60"/>
        <v>3.91</v>
      </c>
      <c r="O134" s="140">
        <f t="shared" si="61"/>
        <v>52.36</v>
      </c>
    </row>
    <row r="135" spans="1:15" s="9" customFormat="1" ht="15" customHeight="1">
      <c r="A135" s="66" t="s">
        <v>413</v>
      </c>
      <c r="B135" s="12" t="s">
        <v>134</v>
      </c>
      <c r="C135" s="16" t="s">
        <v>44</v>
      </c>
      <c r="D135" s="89">
        <f>0.1625*1.1</f>
        <v>0.17875000000000002</v>
      </c>
      <c r="E135" s="141"/>
      <c r="F135" s="58"/>
      <c r="G135" s="29"/>
      <c r="H135" s="29">
        <v>145</v>
      </c>
      <c r="I135" s="152">
        <f t="shared" si="55"/>
        <v>0</v>
      </c>
      <c r="J135" s="153">
        <f t="shared" si="56"/>
        <v>145</v>
      </c>
      <c r="K135" s="154">
        <f t="shared" si="57"/>
        <v>0</v>
      </c>
      <c r="L135" s="154">
        <f t="shared" si="58"/>
        <v>0</v>
      </c>
      <c r="M135" s="154">
        <f t="shared" si="59"/>
        <v>25.92</v>
      </c>
      <c r="N135" s="154">
        <f t="shared" si="60"/>
        <v>0</v>
      </c>
      <c r="O135" s="154">
        <f t="shared" si="61"/>
        <v>25.92</v>
      </c>
    </row>
    <row r="136" spans="1:15" s="9" customFormat="1" ht="15" customHeight="1">
      <c r="A136" s="66" t="s">
        <v>414</v>
      </c>
      <c r="B136" s="12" t="s">
        <v>277</v>
      </c>
      <c r="C136" s="16" t="s">
        <v>243</v>
      </c>
      <c r="D136" s="77">
        <v>1</v>
      </c>
      <c r="E136" s="141"/>
      <c r="F136" s="58"/>
      <c r="G136" s="29"/>
      <c r="H136" s="29">
        <v>15</v>
      </c>
      <c r="I136" s="152">
        <f t="shared" si="55"/>
        <v>0</v>
      </c>
      <c r="J136" s="153">
        <f t="shared" si="56"/>
        <v>15</v>
      </c>
      <c r="K136" s="154">
        <f t="shared" si="57"/>
        <v>0</v>
      </c>
      <c r="L136" s="154">
        <f t="shared" si="58"/>
        <v>0</v>
      </c>
      <c r="M136" s="154">
        <f t="shared" si="59"/>
        <v>15</v>
      </c>
      <c r="N136" s="154">
        <f t="shared" si="60"/>
        <v>0</v>
      </c>
      <c r="O136" s="154">
        <f t="shared" si="61"/>
        <v>15</v>
      </c>
    </row>
    <row r="137" spans="1:15" s="9" customFormat="1" ht="15" customHeight="1">
      <c r="A137" s="66" t="s">
        <v>415</v>
      </c>
      <c r="B137" s="71" t="s">
        <v>135</v>
      </c>
      <c r="C137" s="69" t="s">
        <v>36</v>
      </c>
      <c r="D137" s="69">
        <v>17</v>
      </c>
      <c r="E137" s="143">
        <v>0.75</v>
      </c>
      <c r="F137" s="138">
        <f>$F$1</f>
        <v>3.8</v>
      </c>
      <c r="G137" s="138">
        <f>ROUND(E137*F137,2)</f>
        <v>2.85</v>
      </c>
      <c r="H137" s="138"/>
      <c r="I137" s="138">
        <f t="shared" si="55"/>
        <v>0.23</v>
      </c>
      <c r="J137" s="139">
        <f t="shared" si="56"/>
        <v>3.08</v>
      </c>
      <c r="K137" s="140">
        <f t="shared" si="57"/>
        <v>12.75</v>
      </c>
      <c r="L137" s="140">
        <f t="shared" si="58"/>
        <v>48.45</v>
      </c>
      <c r="M137" s="140">
        <f t="shared" si="59"/>
        <v>0</v>
      </c>
      <c r="N137" s="140">
        <f t="shared" si="60"/>
        <v>3.91</v>
      </c>
      <c r="O137" s="140">
        <f t="shared" si="61"/>
        <v>52.36</v>
      </c>
    </row>
    <row r="138" spans="1:15" s="9" customFormat="1" ht="15" customHeight="1">
      <c r="A138" s="66" t="s">
        <v>416</v>
      </c>
      <c r="B138" s="12" t="s">
        <v>77</v>
      </c>
      <c r="C138" s="16" t="s">
        <v>44</v>
      </c>
      <c r="D138" s="89">
        <v>0.18</v>
      </c>
      <c r="E138" s="142"/>
      <c r="F138" s="58"/>
      <c r="G138" s="29"/>
      <c r="H138" s="29">
        <v>145</v>
      </c>
      <c r="I138" s="152">
        <f t="shared" si="55"/>
        <v>0</v>
      </c>
      <c r="J138" s="153">
        <f t="shared" si="56"/>
        <v>145</v>
      </c>
      <c r="K138" s="154">
        <f t="shared" si="57"/>
        <v>0</v>
      </c>
      <c r="L138" s="154">
        <f t="shared" si="58"/>
        <v>0</v>
      </c>
      <c r="M138" s="154">
        <f t="shared" si="59"/>
        <v>26.1</v>
      </c>
      <c r="N138" s="154">
        <f t="shared" si="60"/>
        <v>0</v>
      </c>
      <c r="O138" s="154">
        <f t="shared" si="61"/>
        <v>26.1</v>
      </c>
    </row>
    <row r="139" spans="1:15" s="9" customFormat="1" ht="15" customHeight="1">
      <c r="A139" s="66" t="s">
        <v>417</v>
      </c>
      <c r="B139" s="12" t="s">
        <v>277</v>
      </c>
      <c r="C139" s="16" t="s">
        <v>243</v>
      </c>
      <c r="D139" s="77">
        <v>1</v>
      </c>
      <c r="E139" s="141"/>
      <c r="F139" s="58"/>
      <c r="G139" s="29"/>
      <c r="H139" s="29">
        <v>15</v>
      </c>
      <c r="I139" s="152">
        <f t="shared" si="55"/>
        <v>0</v>
      </c>
      <c r="J139" s="153">
        <f t="shared" si="56"/>
        <v>15</v>
      </c>
      <c r="K139" s="154">
        <f t="shared" si="57"/>
        <v>0</v>
      </c>
      <c r="L139" s="154">
        <f t="shared" si="58"/>
        <v>0</v>
      </c>
      <c r="M139" s="154">
        <f t="shared" si="59"/>
        <v>15</v>
      </c>
      <c r="N139" s="154">
        <f t="shared" si="60"/>
        <v>0</v>
      </c>
      <c r="O139" s="154">
        <f t="shared" si="61"/>
        <v>15</v>
      </c>
    </row>
    <row r="140" spans="1:15" s="9" customFormat="1" ht="15" customHeight="1">
      <c r="A140" s="66" t="s">
        <v>418</v>
      </c>
      <c r="B140" s="71" t="s">
        <v>278</v>
      </c>
      <c r="C140" s="81" t="s">
        <v>43</v>
      </c>
      <c r="D140" s="159">
        <v>30</v>
      </c>
      <c r="E140" s="143">
        <v>0.35</v>
      </c>
      <c r="F140" s="138">
        <f>$F$1</f>
        <v>3.8</v>
      </c>
      <c r="G140" s="138">
        <f>ROUND(E140*F140,2)</f>
        <v>1.33</v>
      </c>
      <c r="H140" s="138"/>
      <c r="I140" s="138">
        <f t="shared" si="55"/>
        <v>0.11</v>
      </c>
      <c r="J140" s="139">
        <f t="shared" si="56"/>
        <v>1.4400000000000002</v>
      </c>
      <c r="K140" s="140">
        <f t="shared" si="57"/>
        <v>10.5</v>
      </c>
      <c r="L140" s="140">
        <f t="shared" si="58"/>
        <v>39.9</v>
      </c>
      <c r="M140" s="140">
        <f t="shared" si="59"/>
        <v>0</v>
      </c>
      <c r="N140" s="140">
        <f t="shared" si="60"/>
        <v>3.3</v>
      </c>
      <c r="O140" s="140">
        <f t="shared" si="61"/>
        <v>43.199999999999996</v>
      </c>
    </row>
    <row r="141" spans="1:15" s="9" customFormat="1" ht="26.25" thickBot="1">
      <c r="A141" s="66" t="s">
        <v>419</v>
      </c>
      <c r="B141" s="86" t="s">
        <v>276</v>
      </c>
      <c r="C141" s="87" t="s">
        <v>41</v>
      </c>
      <c r="D141" s="88">
        <f>0.4*D140</f>
        <v>12</v>
      </c>
      <c r="E141" s="142"/>
      <c r="F141" s="59"/>
      <c r="G141" s="53"/>
      <c r="H141" s="53">
        <v>0.59</v>
      </c>
      <c r="I141" s="152">
        <f t="shared" si="55"/>
        <v>0</v>
      </c>
      <c r="J141" s="153">
        <f t="shared" si="56"/>
        <v>0.59</v>
      </c>
      <c r="K141" s="154">
        <f t="shared" si="57"/>
        <v>0</v>
      </c>
      <c r="L141" s="154">
        <f t="shared" si="58"/>
        <v>0</v>
      </c>
      <c r="M141" s="154">
        <f t="shared" si="59"/>
        <v>7.08</v>
      </c>
      <c r="N141" s="154">
        <f t="shared" si="60"/>
        <v>0</v>
      </c>
      <c r="O141" s="154">
        <f t="shared" si="61"/>
        <v>7.08</v>
      </c>
    </row>
    <row r="142" spans="1:15" ht="15.75" customHeight="1" thickBot="1">
      <c r="A142" s="312" t="s">
        <v>279</v>
      </c>
      <c r="B142" s="313"/>
      <c r="C142" s="313"/>
      <c r="D142" s="313"/>
      <c r="E142" s="313"/>
      <c r="F142" s="313"/>
      <c r="G142" s="313"/>
      <c r="H142" s="313"/>
      <c r="I142" s="313"/>
      <c r="J142" s="314"/>
      <c r="K142" s="45"/>
      <c r="L142" s="45"/>
      <c r="M142" s="45"/>
      <c r="N142" s="45"/>
      <c r="O142" s="45"/>
    </row>
    <row r="143" spans="1:15" s="15" customFormat="1" ht="51">
      <c r="A143" s="61" t="s">
        <v>420</v>
      </c>
      <c r="B143" s="91" t="s">
        <v>280</v>
      </c>
      <c r="C143" s="79" t="s">
        <v>44</v>
      </c>
      <c r="D143" s="79">
        <v>2.9</v>
      </c>
      <c r="E143" s="161">
        <v>7.5</v>
      </c>
      <c r="F143" s="138">
        <f>$F$1</f>
        <v>3.8</v>
      </c>
      <c r="G143" s="138">
        <f>ROUND(E143*F143,2)</f>
        <v>28.5</v>
      </c>
      <c r="H143" s="138"/>
      <c r="I143" s="138">
        <f t="shared" ref="I143:I159" si="62">ROUND(G143*$I$1,2)</f>
        <v>2.2799999999999998</v>
      </c>
      <c r="J143" s="139">
        <f t="shared" ref="J143:J159" si="63">SUM(G143:I143)</f>
        <v>30.78</v>
      </c>
      <c r="K143" s="140">
        <f t="shared" ref="K143:K159" si="64">ROUND(D143*E143,2)</f>
        <v>21.75</v>
      </c>
      <c r="L143" s="140">
        <f t="shared" ref="L143:L159" si="65">ROUND(D143*G143,2)</f>
        <v>82.65</v>
      </c>
      <c r="M143" s="140">
        <f t="shared" ref="M143:M159" si="66">ROUND(D143*H143,2)</f>
        <v>0</v>
      </c>
      <c r="N143" s="140">
        <f t="shared" ref="N143:N159" si="67">ROUND(I143*D143,2)</f>
        <v>6.61</v>
      </c>
      <c r="O143" s="140">
        <f t="shared" ref="O143:O159" si="68">SUM(L143:N143)</f>
        <v>89.26</v>
      </c>
    </row>
    <row r="144" spans="1:15" ht="25.5">
      <c r="A144" s="61" t="s">
        <v>421</v>
      </c>
      <c r="B144" s="12" t="s">
        <v>78</v>
      </c>
      <c r="C144" s="16" t="s">
        <v>43</v>
      </c>
      <c r="D144" s="92">
        <v>10</v>
      </c>
      <c r="E144" s="160"/>
      <c r="F144" s="160"/>
      <c r="G144" s="160"/>
      <c r="H144" s="160">
        <v>8.5</v>
      </c>
      <c r="I144" s="153">
        <f t="shared" si="62"/>
        <v>0</v>
      </c>
      <c r="J144" s="153">
        <f t="shared" si="63"/>
        <v>8.5</v>
      </c>
      <c r="K144" s="154">
        <f t="shared" si="64"/>
        <v>0</v>
      </c>
      <c r="L144" s="154">
        <f t="shared" si="65"/>
        <v>0</v>
      </c>
      <c r="M144" s="154">
        <f t="shared" si="66"/>
        <v>85</v>
      </c>
      <c r="N144" s="154">
        <f t="shared" si="67"/>
        <v>0</v>
      </c>
      <c r="O144" s="154">
        <f t="shared" si="68"/>
        <v>85</v>
      </c>
    </row>
    <row r="145" spans="1:15" s="15" customFormat="1">
      <c r="A145" s="61" t="s">
        <v>422</v>
      </c>
      <c r="B145" s="12" t="s">
        <v>79</v>
      </c>
      <c r="C145" s="16" t="s">
        <v>44</v>
      </c>
      <c r="D145" s="92">
        <f>D143*1.1</f>
        <v>3.19</v>
      </c>
      <c r="E145" s="160"/>
      <c r="F145" s="160"/>
      <c r="G145" s="160"/>
      <c r="H145" s="160">
        <v>9.5</v>
      </c>
      <c r="I145" s="153">
        <f t="shared" si="62"/>
        <v>0</v>
      </c>
      <c r="J145" s="153">
        <f t="shared" si="63"/>
        <v>9.5</v>
      </c>
      <c r="K145" s="154">
        <f t="shared" si="64"/>
        <v>0</v>
      </c>
      <c r="L145" s="154">
        <f t="shared" si="65"/>
        <v>0</v>
      </c>
      <c r="M145" s="154">
        <f t="shared" si="66"/>
        <v>30.31</v>
      </c>
      <c r="N145" s="154">
        <f t="shared" si="67"/>
        <v>0</v>
      </c>
      <c r="O145" s="154">
        <f t="shared" si="68"/>
        <v>30.31</v>
      </c>
    </row>
    <row r="146" spans="1:15">
      <c r="A146" s="61" t="s">
        <v>423</v>
      </c>
      <c r="B146" s="12" t="s">
        <v>0</v>
      </c>
      <c r="C146" s="16" t="s">
        <v>46</v>
      </c>
      <c r="D146" s="92">
        <v>1</v>
      </c>
      <c r="E146" s="160"/>
      <c r="F146" s="160"/>
      <c r="G146" s="160"/>
      <c r="H146" s="160">
        <v>10.5</v>
      </c>
      <c r="I146" s="153">
        <f t="shared" si="62"/>
        <v>0</v>
      </c>
      <c r="J146" s="153">
        <f t="shared" si="63"/>
        <v>10.5</v>
      </c>
      <c r="K146" s="154">
        <f t="shared" si="64"/>
        <v>0</v>
      </c>
      <c r="L146" s="154">
        <f t="shared" si="65"/>
        <v>0</v>
      </c>
      <c r="M146" s="154">
        <f t="shared" si="66"/>
        <v>10.5</v>
      </c>
      <c r="N146" s="154">
        <f t="shared" si="67"/>
        <v>0</v>
      </c>
      <c r="O146" s="154">
        <f t="shared" si="68"/>
        <v>10.5</v>
      </c>
    </row>
    <row r="147" spans="1:15" ht="25.5">
      <c r="A147" s="61" t="s">
        <v>424</v>
      </c>
      <c r="B147" s="71" t="s">
        <v>284</v>
      </c>
      <c r="C147" s="69" t="s">
        <v>36</v>
      </c>
      <c r="D147" s="82">
        <f>SUM(D148:D149)</f>
        <v>286</v>
      </c>
      <c r="E147" s="161">
        <v>0.04</v>
      </c>
      <c r="F147" s="138">
        <f>$F$1</f>
        <v>3.8</v>
      </c>
      <c r="G147" s="138">
        <f>ROUND(E147*F147,2)</f>
        <v>0.15</v>
      </c>
      <c r="H147" s="138"/>
      <c r="I147" s="138">
        <f t="shared" si="62"/>
        <v>0.01</v>
      </c>
      <c r="J147" s="139">
        <f t="shared" si="63"/>
        <v>0.16</v>
      </c>
      <c r="K147" s="140">
        <f t="shared" si="64"/>
        <v>11.44</v>
      </c>
      <c r="L147" s="140">
        <f t="shared" si="65"/>
        <v>42.9</v>
      </c>
      <c r="M147" s="140">
        <f t="shared" si="66"/>
        <v>0</v>
      </c>
      <c r="N147" s="140">
        <f t="shared" si="67"/>
        <v>2.86</v>
      </c>
      <c r="O147" s="140">
        <f t="shared" si="68"/>
        <v>45.76</v>
      </c>
    </row>
    <row r="148" spans="1:15" ht="14.25" customHeight="1">
      <c r="A148" s="61" t="s">
        <v>425</v>
      </c>
      <c r="B148" s="12" t="s">
        <v>281</v>
      </c>
      <c r="C148" s="92" t="s">
        <v>41</v>
      </c>
      <c r="D148" s="92">
        <v>121</v>
      </c>
      <c r="E148" s="160"/>
      <c r="F148" s="160"/>
      <c r="G148" s="160"/>
      <c r="H148" s="160">
        <v>0.7</v>
      </c>
      <c r="I148" s="153">
        <f t="shared" si="62"/>
        <v>0</v>
      </c>
      <c r="J148" s="153">
        <f t="shared" si="63"/>
        <v>0.7</v>
      </c>
      <c r="K148" s="154">
        <f t="shared" si="64"/>
        <v>0</v>
      </c>
      <c r="L148" s="154">
        <f t="shared" si="65"/>
        <v>0</v>
      </c>
      <c r="M148" s="154">
        <f t="shared" si="66"/>
        <v>84.7</v>
      </c>
      <c r="N148" s="154">
        <f t="shared" si="67"/>
        <v>0</v>
      </c>
      <c r="O148" s="154">
        <f t="shared" si="68"/>
        <v>84.7</v>
      </c>
    </row>
    <row r="149" spans="1:15">
      <c r="A149" s="61" t="s">
        <v>426</v>
      </c>
      <c r="B149" s="12" t="s">
        <v>282</v>
      </c>
      <c r="C149" s="92" t="s">
        <v>41</v>
      </c>
      <c r="D149" s="92">
        <v>165</v>
      </c>
      <c r="E149" s="160"/>
      <c r="F149" s="160"/>
      <c r="G149" s="160"/>
      <c r="H149" s="160">
        <v>0.7</v>
      </c>
      <c r="I149" s="153">
        <f t="shared" si="62"/>
        <v>0</v>
      </c>
      <c r="J149" s="153">
        <f t="shared" si="63"/>
        <v>0.7</v>
      </c>
      <c r="K149" s="154">
        <f t="shared" si="64"/>
        <v>0</v>
      </c>
      <c r="L149" s="154">
        <f t="shared" si="65"/>
        <v>0</v>
      </c>
      <c r="M149" s="154">
        <f t="shared" si="66"/>
        <v>115.5</v>
      </c>
      <c r="N149" s="154">
        <f t="shared" si="67"/>
        <v>0</v>
      </c>
      <c r="O149" s="154">
        <f t="shared" si="68"/>
        <v>115.5</v>
      </c>
    </row>
    <row r="150" spans="1:15" ht="25.5">
      <c r="A150" s="61" t="s">
        <v>427</v>
      </c>
      <c r="B150" s="11" t="s">
        <v>283</v>
      </c>
      <c r="C150" s="69" t="s">
        <v>243</v>
      </c>
      <c r="D150" s="69">
        <v>4</v>
      </c>
      <c r="E150" s="161">
        <v>0.52</v>
      </c>
      <c r="F150" s="138">
        <f>$F$1</f>
        <v>3.8</v>
      </c>
      <c r="G150" s="138">
        <f>ROUND(E150*F150,2)</f>
        <v>1.98</v>
      </c>
      <c r="H150" s="138"/>
      <c r="I150" s="138">
        <f t="shared" si="62"/>
        <v>0.16</v>
      </c>
      <c r="J150" s="139">
        <f t="shared" si="63"/>
        <v>2.14</v>
      </c>
      <c r="K150" s="140">
        <f t="shared" si="64"/>
        <v>2.08</v>
      </c>
      <c r="L150" s="140">
        <f t="shared" si="65"/>
        <v>7.92</v>
      </c>
      <c r="M150" s="140">
        <f t="shared" si="66"/>
        <v>0</v>
      </c>
      <c r="N150" s="140">
        <f t="shared" si="67"/>
        <v>0.64</v>
      </c>
      <c r="O150" s="140">
        <f t="shared" si="68"/>
        <v>8.56</v>
      </c>
    </row>
    <row r="151" spans="1:15">
      <c r="A151" s="61" t="s">
        <v>428</v>
      </c>
      <c r="B151" s="12" t="s">
        <v>50</v>
      </c>
      <c r="C151" s="68" t="s">
        <v>36</v>
      </c>
      <c r="D151" s="93">
        <v>2.4</v>
      </c>
      <c r="E151" s="160"/>
      <c r="F151" s="160"/>
      <c r="G151" s="160"/>
      <c r="H151" s="160">
        <v>16.79</v>
      </c>
      <c r="I151" s="153">
        <f t="shared" si="62"/>
        <v>0</v>
      </c>
      <c r="J151" s="153">
        <f t="shared" si="63"/>
        <v>16.79</v>
      </c>
      <c r="K151" s="154">
        <f t="shared" si="64"/>
        <v>0</v>
      </c>
      <c r="L151" s="154">
        <f t="shared" si="65"/>
        <v>0</v>
      </c>
      <c r="M151" s="154">
        <f t="shared" si="66"/>
        <v>40.299999999999997</v>
      </c>
      <c r="N151" s="154">
        <f t="shared" si="67"/>
        <v>0</v>
      </c>
      <c r="O151" s="154">
        <f t="shared" si="68"/>
        <v>40.299999999999997</v>
      </c>
    </row>
    <row r="152" spans="1:15">
      <c r="A152" s="61" t="s">
        <v>429</v>
      </c>
      <c r="B152" s="12" t="s">
        <v>80</v>
      </c>
      <c r="C152" s="68" t="s">
        <v>34</v>
      </c>
      <c r="D152" s="68">
        <v>4</v>
      </c>
      <c r="E152" s="160"/>
      <c r="F152" s="160"/>
      <c r="G152" s="160"/>
      <c r="H152" s="160">
        <v>16.54</v>
      </c>
      <c r="I152" s="153">
        <f t="shared" si="62"/>
        <v>0</v>
      </c>
      <c r="J152" s="153">
        <f t="shared" si="63"/>
        <v>16.54</v>
      </c>
      <c r="K152" s="154">
        <f t="shared" si="64"/>
        <v>0</v>
      </c>
      <c r="L152" s="154">
        <f t="shared" si="65"/>
        <v>0</v>
      </c>
      <c r="M152" s="154">
        <f t="shared" si="66"/>
        <v>66.16</v>
      </c>
      <c r="N152" s="154">
        <f t="shared" si="67"/>
        <v>0</v>
      </c>
      <c r="O152" s="154">
        <f t="shared" si="68"/>
        <v>66.16</v>
      </c>
    </row>
    <row r="153" spans="1:15">
      <c r="A153" s="61" t="s">
        <v>430</v>
      </c>
      <c r="B153" s="12" t="s">
        <v>52</v>
      </c>
      <c r="C153" s="68" t="s">
        <v>34</v>
      </c>
      <c r="D153" s="94">
        <v>4</v>
      </c>
      <c r="E153" s="160"/>
      <c r="F153" s="160"/>
      <c r="G153" s="160"/>
      <c r="H153" s="160">
        <v>16.54</v>
      </c>
      <c r="I153" s="153">
        <f t="shared" si="62"/>
        <v>0</v>
      </c>
      <c r="J153" s="153">
        <f t="shared" si="63"/>
        <v>16.54</v>
      </c>
      <c r="K153" s="154">
        <f t="shared" si="64"/>
        <v>0</v>
      </c>
      <c r="L153" s="154">
        <f t="shared" si="65"/>
        <v>0</v>
      </c>
      <c r="M153" s="154">
        <f t="shared" si="66"/>
        <v>66.16</v>
      </c>
      <c r="N153" s="154">
        <f t="shared" si="67"/>
        <v>0</v>
      </c>
      <c r="O153" s="154">
        <f t="shared" si="68"/>
        <v>66.16</v>
      </c>
    </row>
    <row r="154" spans="1:15">
      <c r="A154" s="61" t="s">
        <v>431</v>
      </c>
      <c r="B154" s="12" t="s">
        <v>81</v>
      </c>
      <c r="C154" s="68" t="s">
        <v>34</v>
      </c>
      <c r="D154" s="95">
        <v>4</v>
      </c>
      <c r="E154" s="160"/>
      <c r="F154" s="160"/>
      <c r="G154" s="160"/>
      <c r="H154" s="160">
        <v>16.54</v>
      </c>
      <c r="I154" s="153">
        <f t="shared" si="62"/>
        <v>0</v>
      </c>
      <c r="J154" s="153">
        <f t="shared" si="63"/>
        <v>16.54</v>
      </c>
      <c r="K154" s="154">
        <f t="shared" si="64"/>
        <v>0</v>
      </c>
      <c r="L154" s="154">
        <f t="shared" si="65"/>
        <v>0</v>
      </c>
      <c r="M154" s="154">
        <f t="shared" si="66"/>
        <v>66.16</v>
      </c>
      <c r="N154" s="154">
        <f t="shared" si="67"/>
        <v>0</v>
      </c>
      <c r="O154" s="154">
        <f t="shared" si="68"/>
        <v>66.16</v>
      </c>
    </row>
    <row r="155" spans="1:15">
      <c r="A155" s="61" t="s">
        <v>432</v>
      </c>
      <c r="B155" s="11" t="s">
        <v>136</v>
      </c>
      <c r="C155" s="69" t="s">
        <v>43</v>
      </c>
      <c r="D155" s="82">
        <v>10</v>
      </c>
      <c r="E155" s="161">
        <v>5.28</v>
      </c>
      <c r="F155" s="138">
        <f>$F$1</f>
        <v>3.8</v>
      </c>
      <c r="G155" s="138">
        <f>ROUND(E155*F155,2)</f>
        <v>20.059999999999999</v>
      </c>
      <c r="H155" s="138"/>
      <c r="I155" s="138">
        <f t="shared" si="62"/>
        <v>1.6</v>
      </c>
      <c r="J155" s="139">
        <f t="shared" si="63"/>
        <v>21.66</v>
      </c>
      <c r="K155" s="140">
        <f t="shared" si="64"/>
        <v>52.8</v>
      </c>
      <c r="L155" s="140">
        <f t="shared" si="65"/>
        <v>200.6</v>
      </c>
      <c r="M155" s="140">
        <f t="shared" si="66"/>
        <v>0</v>
      </c>
      <c r="N155" s="140">
        <f t="shared" si="67"/>
        <v>16</v>
      </c>
      <c r="O155" s="140">
        <f t="shared" si="68"/>
        <v>216.6</v>
      </c>
    </row>
    <row r="156" spans="1:15" ht="25.5">
      <c r="A156" s="61" t="s">
        <v>433</v>
      </c>
      <c r="B156" s="12" t="s">
        <v>285</v>
      </c>
      <c r="C156" s="68" t="s">
        <v>41</v>
      </c>
      <c r="D156" s="68">
        <v>51</v>
      </c>
      <c r="E156" s="160"/>
      <c r="F156" s="160"/>
      <c r="G156" s="160"/>
      <c r="H156" s="160">
        <v>0.33</v>
      </c>
      <c r="I156" s="153">
        <f t="shared" si="62"/>
        <v>0</v>
      </c>
      <c r="J156" s="153">
        <f t="shared" si="63"/>
        <v>0.33</v>
      </c>
      <c r="K156" s="154">
        <f t="shared" si="64"/>
        <v>0</v>
      </c>
      <c r="L156" s="154">
        <f t="shared" si="65"/>
        <v>0</v>
      </c>
      <c r="M156" s="154">
        <f t="shared" si="66"/>
        <v>16.829999999999998</v>
      </c>
      <c r="N156" s="154">
        <f t="shared" si="67"/>
        <v>0</v>
      </c>
      <c r="O156" s="154">
        <f t="shared" si="68"/>
        <v>16.829999999999998</v>
      </c>
    </row>
    <row r="157" spans="1:15">
      <c r="A157" s="61" t="s">
        <v>434</v>
      </c>
      <c r="B157" s="12" t="s">
        <v>82</v>
      </c>
      <c r="C157" s="68" t="s">
        <v>41</v>
      </c>
      <c r="D157" s="96">
        <v>30</v>
      </c>
      <c r="E157" s="160"/>
      <c r="F157" s="160"/>
      <c r="G157" s="160"/>
      <c r="H157" s="160">
        <v>1.9</v>
      </c>
      <c r="I157" s="153">
        <f t="shared" si="62"/>
        <v>0</v>
      </c>
      <c r="J157" s="153">
        <f t="shared" si="63"/>
        <v>1.9</v>
      </c>
      <c r="K157" s="154">
        <f t="shared" si="64"/>
        <v>0</v>
      </c>
      <c r="L157" s="154">
        <f t="shared" si="65"/>
        <v>0</v>
      </c>
      <c r="M157" s="154">
        <f t="shared" si="66"/>
        <v>57</v>
      </c>
      <c r="N157" s="154">
        <f t="shared" si="67"/>
        <v>0</v>
      </c>
      <c r="O157" s="154">
        <f t="shared" si="68"/>
        <v>57</v>
      </c>
    </row>
    <row r="158" spans="1:15">
      <c r="A158" s="61" t="s">
        <v>435</v>
      </c>
      <c r="B158" s="12" t="s">
        <v>51</v>
      </c>
      <c r="C158" s="68" t="s">
        <v>36</v>
      </c>
      <c r="D158" s="93">
        <v>0.63</v>
      </c>
      <c r="E158" s="160"/>
      <c r="F158" s="160"/>
      <c r="G158" s="160"/>
      <c r="H158" s="160">
        <v>4.95</v>
      </c>
      <c r="I158" s="153">
        <f t="shared" si="62"/>
        <v>0</v>
      </c>
      <c r="J158" s="153">
        <f t="shared" si="63"/>
        <v>4.95</v>
      </c>
      <c r="K158" s="154">
        <f t="shared" si="64"/>
        <v>0</v>
      </c>
      <c r="L158" s="154">
        <f t="shared" si="65"/>
        <v>0</v>
      </c>
      <c r="M158" s="154">
        <f t="shared" si="66"/>
        <v>3.12</v>
      </c>
      <c r="N158" s="154">
        <f t="shared" si="67"/>
        <v>0</v>
      </c>
      <c r="O158" s="154">
        <f t="shared" si="68"/>
        <v>3.12</v>
      </c>
    </row>
    <row r="159" spans="1:15" ht="13.5" thickBot="1">
      <c r="A159" s="61" t="s">
        <v>436</v>
      </c>
      <c r="B159" s="97" t="s">
        <v>53</v>
      </c>
      <c r="C159" s="98" t="s">
        <v>34</v>
      </c>
      <c r="D159" s="99">
        <v>2</v>
      </c>
      <c r="E159" s="160"/>
      <c r="F159" s="160"/>
      <c r="G159" s="160"/>
      <c r="H159" s="160">
        <v>5.96</v>
      </c>
      <c r="I159" s="153">
        <f t="shared" si="62"/>
        <v>0</v>
      </c>
      <c r="J159" s="153">
        <f t="shared" si="63"/>
        <v>5.96</v>
      </c>
      <c r="K159" s="154">
        <f t="shared" si="64"/>
        <v>0</v>
      </c>
      <c r="L159" s="154">
        <f t="shared" si="65"/>
        <v>0</v>
      </c>
      <c r="M159" s="154">
        <f t="shared" si="66"/>
        <v>11.92</v>
      </c>
      <c r="N159" s="154">
        <f t="shared" si="67"/>
        <v>0</v>
      </c>
      <c r="O159" s="154">
        <f t="shared" si="68"/>
        <v>11.92</v>
      </c>
    </row>
    <row r="160" spans="1:15" ht="15.75" thickBot="1">
      <c r="A160" s="312" t="s">
        <v>286</v>
      </c>
      <c r="B160" s="313"/>
      <c r="C160" s="313"/>
      <c r="D160" s="313"/>
      <c r="E160" s="313"/>
      <c r="F160" s="313"/>
      <c r="G160" s="313"/>
      <c r="H160" s="313"/>
      <c r="I160" s="313"/>
      <c r="J160" s="314"/>
    </row>
    <row r="161" spans="1:15" ht="25.5">
      <c r="A161" s="61" t="s">
        <v>437</v>
      </c>
      <c r="B161" s="31" t="s">
        <v>287</v>
      </c>
      <c r="C161" s="37" t="s">
        <v>43</v>
      </c>
      <c r="D161" s="37">
        <v>9</v>
      </c>
      <c r="E161" s="161">
        <v>0.36</v>
      </c>
      <c r="F161" s="42">
        <f>$F$1</f>
        <v>3.8</v>
      </c>
      <c r="G161" s="42">
        <f>ROUND(E161*F161,2)</f>
        <v>1.37</v>
      </c>
      <c r="H161" s="42"/>
      <c r="I161" s="42">
        <f t="shared" ref="I161:I173" si="69">ROUND(G161*$I$1,2)</f>
        <v>0.11</v>
      </c>
      <c r="J161" s="140">
        <f t="shared" ref="J161:J173" si="70">SUM(G161:I161)</f>
        <v>1.4800000000000002</v>
      </c>
      <c r="K161" s="140">
        <f t="shared" ref="K161:K173" si="71">ROUND(D161*E161,2)</f>
        <v>3.24</v>
      </c>
      <c r="L161" s="140">
        <f t="shared" ref="L161:L173" si="72">ROUND(D161*G161,2)</f>
        <v>12.33</v>
      </c>
      <c r="M161" s="140">
        <f t="shared" ref="M161:M173" si="73">ROUND(D161*H161,2)</f>
        <v>0</v>
      </c>
      <c r="N161" s="140">
        <f t="shared" ref="N161:N173" si="74">ROUND(I161*D161,2)</f>
        <v>0.99</v>
      </c>
      <c r="O161" s="140">
        <f t="shared" ref="O161:O173" si="75">SUM(L161:N161)</f>
        <v>13.32</v>
      </c>
    </row>
    <row r="162" spans="1:15">
      <c r="A162" s="61" t="s">
        <v>438</v>
      </c>
      <c r="B162" s="85" t="s">
        <v>289</v>
      </c>
      <c r="C162" s="32" t="s">
        <v>41</v>
      </c>
      <c r="D162" s="32">
        <f>D161*0.3</f>
        <v>2.6999999999999997</v>
      </c>
      <c r="E162" s="160"/>
      <c r="F162" s="160"/>
      <c r="G162" s="160"/>
      <c r="H162" s="160">
        <v>9.1999999999999993</v>
      </c>
      <c r="I162" s="153">
        <f t="shared" si="69"/>
        <v>0</v>
      </c>
      <c r="J162" s="153">
        <f t="shared" si="70"/>
        <v>9.1999999999999993</v>
      </c>
      <c r="K162" s="154">
        <f t="shared" si="71"/>
        <v>0</v>
      </c>
      <c r="L162" s="154">
        <f t="shared" si="72"/>
        <v>0</v>
      </c>
      <c r="M162" s="154">
        <f t="shared" si="73"/>
        <v>24.84</v>
      </c>
      <c r="N162" s="154">
        <f t="shared" si="74"/>
        <v>0</v>
      </c>
      <c r="O162" s="154">
        <f t="shared" si="75"/>
        <v>24.84</v>
      </c>
    </row>
    <row r="163" spans="1:15">
      <c r="A163" s="61" t="s">
        <v>439</v>
      </c>
      <c r="B163" s="85" t="s">
        <v>288</v>
      </c>
      <c r="C163" s="162" t="s">
        <v>41</v>
      </c>
      <c r="D163" s="32">
        <v>2.7</v>
      </c>
      <c r="E163" s="160"/>
      <c r="F163" s="163"/>
      <c r="G163" s="163"/>
      <c r="H163" s="163">
        <v>4.3</v>
      </c>
      <c r="I163" s="153">
        <f t="shared" si="69"/>
        <v>0</v>
      </c>
      <c r="J163" s="153">
        <f t="shared" si="70"/>
        <v>4.3</v>
      </c>
      <c r="K163" s="154">
        <f t="shared" si="71"/>
        <v>0</v>
      </c>
      <c r="L163" s="154">
        <f t="shared" si="72"/>
        <v>0</v>
      </c>
      <c r="M163" s="154">
        <f t="shared" si="73"/>
        <v>11.61</v>
      </c>
      <c r="N163" s="154">
        <f t="shared" si="74"/>
        <v>0</v>
      </c>
      <c r="O163" s="154">
        <f t="shared" si="75"/>
        <v>11.61</v>
      </c>
    </row>
    <row r="164" spans="1:15" ht="51">
      <c r="A164" s="61" t="s">
        <v>440</v>
      </c>
      <c r="B164" s="21" t="s">
        <v>290</v>
      </c>
      <c r="C164" s="100" t="s">
        <v>8</v>
      </c>
      <c r="D164" s="101">
        <v>1.25</v>
      </c>
      <c r="E164" s="161">
        <v>22</v>
      </c>
      <c r="F164" s="138">
        <f>$F$1</f>
        <v>3.8</v>
      </c>
      <c r="G164" s="138">
        <f>ROUND(E164*F164,2)</f>
        <v>83.6</v>
      </c>
      <c r="H164" s="138"/>
      <c r="I164" s="138">
        <f t="shared" si="69"/>
        <v>6.69</v>
      </c>
      <c r="J164" s="139">
        <f t="shared" si="70"/>
        <v>90.289999999999992</v>
      </c>
      <c r="K164" s="140">
        <f t="shared" si="71"/>
        <v>27.5</v>
      </c>
      <c r="L164" s="140">
        <f t="shared" si="72"/>
        <v>104.5</v>
      </c>
      <c r="M164" s="140">
        <f t="shared" si="73"/>
        <v>0</v>
      </c>
      <c r="N164" s="140">
        <f t="shared" si="74"/>
        <v>8.36</v>
      </c>
      <c r="O164" s="140">
        <f t="shared" si="75"/>
        <v>112.86</v>
      </c>
    </row>
    <row r="165" spans="1:15">
      <c r="A165" s="61" t="s">
        <v>441</v>
      </c>
      <c r="B165" s="85" t="s">
        <v>83</v>
      </c>
      <c r="C165" s="102" t="s">
        <v>8</v>
      </c>
      <c r="D165" s="93">
        <f>ROUND(1.05*D164,2)</f>
        <v>1.31</v>
      </c>
      <c r="E165" s="160"/>
      <c r="F165" s="160"/>
      <c r="G165" s="160"/>
      <c r="H165" s="160">
        <v>710</v>
      </c>
      <c r="I165" s="153">
        <f t="shared" si="69"/>
        <v>0</v>
      </c>
      <c r="J165" s="153">
        <f t="shared" si="70"/>
        <v>710</v>
      </c>
      <c r="K165" s="154">
        <f t="shared" si="71"/>
        <v>0</v>
      </c>
      <c r="L165" s="154">
        <f t="shared" si="72"/>
        <v>0</v>
      </c>
      <c r="M165" s="154">
        <f t="shared" si="73"/>
        <v>930.1</v>
      </c>
      <c r="N165" s="154">
        <f t="shared" si="74"/>
        <v>0</v>
      </c>
      <c r="O165" s="154">
        <f t="shared" si="75"/>
        <v>930.1</v>
      </c>
    </row>
    <row r="166" spans="1:15">
      <c r="A166" s="61" t="s">
        <v>442</v>
      </c>
      <c r="B166" s="85" t="s">
        <v>84</v>
      </c>
      <c r="C166" s="102" t="s">
        <v>85</v>
      </c>
      <c r="D166" s="93">
        <f>0.5*D164</f>
        <v>0.625</v>
      </c>
      <c r="E166" s="160"/>
      <c r="F166" s="160"/>
      <c r="G166" s="160"/>
      <c r="H166" s="160">
        <v>15.2</v>
      </c>
      <c r="I166" s="153">
        <f t="shared" si="69"/>
        <v>0</v>
      </c>
      <c r="J166" s="153">
        <f t="shared" si="70"/>
        <v>15.2</v>
      </c>
      <c r="K166" s="154">
        <f t="shared" si="71"/>
        <v>0</v>
      </c>
      <c r="L166" s="154">
        <f t="shared" si="72"/>
        <v>0</v>
      </c>
      <c r="M166" s="154">
        <f t="shared" si="73"/>
        <v>9.5</v>
      </c>
      <c r="N166" s="154">
        <f t="shared" si="74"/>
        <v>0</v>
      </c>
      <c r="O166" s="154">
        <f t="shared" si="75"/>
        <v>9.5</v>
      </c>
    </row>
    <row r="167" spans="1:15">
      <c r="A167" s="61" t="s">
        <v>443</v>
      </c>
      <c r="B167" s="85" t="s">
        <v>291</v>
      </c>
      <c r="C167" s="16" t="s">
        <v>44</v>
      </c>
      <c r="D167" s="93">
        <v>0.72</v>
      </c>
      <c r="E167" s="160"/>
      <c r="F167" s="160"/>
      <c r="G167" s="160"/>
      <c r="H167" s="160">
        <v>46</v>
      </c>
      <c r="I167" s="153">
        <f t="shared" si="69"/>
        <v>0</v>
      </c>
      <c r="J167" s="153">
        <f t="shared" si="70"/>
        <v>46</v>
      </c>
      <c r="K167" s="154">
        <f t="shared" si="71"/>
        <v>0</v>
      </c>
      <c r="L167" s="154">
        <f t="shared" si="72"/>
        <v>0</v>
      </c>
      <c r="M167" s="154">
        <f t="shared" si="73"/>
        <v>33.119999999999997</v>
      </c>
      <c r="N167" s="154">
        <f t="shared" si="74"/>
        <v>0</v>
      </c>
      <c r="O167" s="154">
        <f t="shared" si="75"/>
        <v>33.119999999999997</v>
      </c>
    </row>
    <row r="168" spans="1:15">
      <c r="A168" s="61" t="s">
        <v>444</v>
      </c>
      <c r="B168" s="85" t="s">
        <v>86</v>
      </c>
      <c r="C168" s="87" t="s">
        <v>44</v>
      </c>
      <c r="D168" s="93">
        <v>1.58</v>
      </c>
      <c r="E168" s="160"/>
      <c r="F168" s="160"/>
      <c r="G168" s="160"/>
      <c r="H168" s="160">
        <v>57.25</v>
      </c>
      <c r="I168" s="153">
        <f t="shared" si="69"/>
        <v>0</v>
      </c>
      <c r="J168" s="153">
        <f t="shared" si="70"/>
        <v>57.25</v>
      </c>
      <c r="K168" s="154">
        <f t="shared" si="71"/>
        <v>0</v>
      </c>
      <c r="L168" s="154">
        <f t="shared" si="72"/>
        <v>0</v>
      </c>
      <c r="M168" s="154">
        <f t="shared" si="73"/>
        <v>90.46</v>
      </c>
      <c r="N168" s="154">
        <f t="shared" si="74"/>
        <v>0</v>
      </c>
      <c r="O168" s="154">
        <f t="shared" si="75"/>
        <v>90.46</v>
      </c>
    </row>
    <row r="169" spans="1:15" ht="25.5">
      <c r="A169" s="61" t="s">
        <v>445</v>
      </c>
      <c r="B169" s="21" t="s">
        <v>293</v>
      </c>
      <c r="C169" s="100" t="s">
        <v>43</v>
      </c>
      <c r="D169" s="101">
        <v>55.6</v>
      </c>
      <c r="E169" s="161">
        <v>0.21</v>
      </c>
      <c r="F169" s="138">
        <f>$F$1</f>
        <v>3.8</v>
      </c>
      <c r="G169" s="138">
        <f>ROUND(E169*F169,2)</f>
        <v>0.8</v>
      </c>
      <c r="H169" s="138"/>
      <c r="I169" s="138">
        <f t="shared" si="69"/>
        <v>0.06</v>
      </c>
      <c r="J169" s="139">
        <f t="shared" si="70"/>
        <v>0.8600000000000001</v>
      </c>
      <c r="K169" s="140">
        <f t="shared" si="71"/>
        <v>11.68</v>
      </c>
      <c r="L169" s="140">
        <f t="shared" si="72"/>
        <v>44.48</v>
      </c>
      <c r="M169" s="140">
        <f t="shared" si="73"/>
        <v>0</v>
      </c>
      <c r="N169" s="140">
        <f t="shared" si="74"/>
        <v>3.34</v>
      </c>
      <c r="O169" s="140">
        <f t="shared" si="75"/>
        <v>47.819999999999993</v>
      </c>
    </row>
    <row r="170" spans="1:15">
      <c r="A170" s="61" t="s">
        <v>446</v>
      </c>
      <c r="B170" s="85" t="s">
        <v>292</v>
      </c>
      <c r="C170" s="102" t="s">
        <v>44</v>
      </c>
      <c r="D170" s="93">
        <f>D169*0.04*1.1</f>
        <v>2.4464000000000006</v>
      </c>
      <c r="E170" s="160"/>
      <c r="F170" s="160"/>
      <c r="G170" s="160"/>
      <c r="H170" s="160">
        <v>160</v>
      </c>
      <c r="I170" s="153">
        <f t="shared" si="69"/>
        <v>0</v>
      </c>
      <c r="J170" s="153">
        <f t="shared" si="70"/>
        <v>160</v>
      </c>
      <c r="K170" s="154">
        <f t="shared" si="71"/>
        <v>0</v>
      </c>
      <c r="L170" s="154">
        <f t="shared" si="72"/>
        <v>0</v>
      </c>
      <c r="M170" s="154">
        <f t="shared" si="73"/>
        <v>391.42</v>
      </c>
      <c r="N170" s="154">
        <f t="shared" si="74"/>
        <v>0</v>
      </c>
      <c r="O170" s="154">
        <f t="shared" si="75"/>
        <v>391.42</v>
      </c>
    </row>
    <row r="171" spans="1:15" ht="25.5">
      <c r="A171" s="61" t="s">
        <v>447</v>
      </c>
      <c r="B171" s="85" t="s">
        <v>294</v>
      </c>
      <c r="C171" s="102" t="s">
        <v>243</v>
      </c>
      <c r="D171" s="93">
        <v>1</v>
      </c>
      <c r="E171" s="160"/>
      <c r="F171" s="160"/>
      <c r="G171" s="160"/>
      <c r="H171" s="160">
        <v>35</v>
      </c>
      <c r="I171" s="153">
        <f t="shared" si="69"/>
        <v>0</v>
      </c>
      <c r="J171" s="153">
        <f t="shared" si="70"/>
        <v>35</v>
      </c>
      <c r="K171" s="154">
        <f t="shared" si="71"/>
        <v>0</v>
      </c>
      <c r="L171" s="154">
        <f t="shared" si="72"/>
        <v>0</v>
      </c>
      <c r="M171" s="154">
        <f t="shared" si="73"/>
        <v>35</v>
      </c>
      <c r="N171" s="154">
        <f t="shared" si="74"/>
        <v>0</v>
      </c>
      <c r="O171" s="154">
        <f t="shared" si="75"/>
        <v>35</v>
      </c>
    </row>
    <row r="172" spans="1:15" ht="25.5">
      <c r="A172" s="61" t="s">
        <v>448</v>
      </c>
      <c r="B172" s="21" t="s">
        <v>295</v>
      </c>
      <c r="C172" s="103" t="s">
        <v>137</v>
      </c>
      <c r="D172" s="101">
        <f>55.6*2</f>
        <v>111.2</v>
      </c>
      <c r="E172" s="161">
        <v>0.35</v>
      </c>
      <c r="F172" s="138">
        <f>$F$1</f>
        <v>3.8</v>
      </c>
      <c r="G172" s="138">
        <f>ROUND(E172*F172,2)</f>
        <v>1.33</v>
      </c>
      <c r="H172" s="138"/>
      <c r="I172" s="138">
        <f t="shared" si="69"/>
        <v>0.11</v>
      </c>
      <c r="J172" s="139">
        <f t="shared" si="70"/>
        <v>1.4400000000000002</v>
      </c>
      <c r="K172" s="140">
        <f t="shared" si="71"/>
        <v>38.92</v>
      </c>
      <c r="L172" s="140">
        <f t="shared" si="72"/>
        <v>147.9</v>
      </c>
      <c r="M172" s="140">
        <f t="shared" si="73"/>
        <v>0</v>
      </c>
      <c r="N172" s="140">
        <f t="shared" si="74"/>
        <v>12.23</v>
      </c>
      <c r="O172" s="140">
        <f t="shared" si="75"/>
        <v>160.13</v>
      </c>
    </row>
    <row r="173" spans="1:15" ht="26.25" thickBot="1">
      <c r="A173" s="61" t="s">
        <v>449</v>
      </c>
      <c r="B173" s="86" t="s">
        <v>276</v>
      </c>
      <c r="C173" s="160" t="s">
        <v>41</v>
      </c>
      <c r="D173" s="153">
        <f>D172*0.2</f>
        <v>22.240000000000002</v>
      </c>
      <c r="E173" s="153"/>
      <c r="F173" s="160"/>
      <c r="G173" s="153"/>
      <c r="H173" s="160">
        <v>0.59</v>
      </c>
      <c r="I173" s="153">
        <f t="shared" si="69"/>
        <v>0</v>
      </c>
      <c r="J173" s="153">
        <f t="shared" si="70"/>
        <v>0.59</v>
      </c>
      <c r="K173" s="154">
        <f t="shared" si="71"/>
        <v>0</v>
      </c>
      <c r="L173" s="154">
        <f t="shared" si="72"/>
        <v>0</v>
      </c>
      <c r="M173" s="154">
        <f t="shared" si="73"/>
        <v>13.12</v>
      </c>
      <c r="N173" s="154">
        <f t="shared" si="74"/>
        <v>0</v>
      </c>
      <c r="O173" s="154">
        <f t="shared" si="75"/>
        <v>13.12</v>
      </c>
    </row>
    <row r="174" spans="1:15" ht="15.75" thickBot="1">
      <c r="A174" s="312" t="s">
        <v>296</v>
      </c>
      <c r="B174" s="313"/>
      <c r="C174" s="313"/>
      <c r="D174" s="313"/>
      <c r="E174" s="313"/>
      <c r="F174" s="313"/>
      <c r="G174" s="313"/>
      <c r="H174" s="313"/>
      <c r="I174" s="313"/>
      <c r="J174" s="314"/>
    </row>
    <row r="175" spans="1:15" ht="14.25">
      <c r="A175" s="106" t="s">
        <v>450</v>
      </c>
      <c r="B175" s="78" t="s">
        <v>138</v>
      </c>
      <c r="C175" s="30" t="s">
        <v>139</v>
      </c>
      <c r="D175" s="107">
        <v>0.71</v>
      </c>
      <c r="E175" s="161">
        <v>25</v>
      </c>
      <c r="F175" s="138">
        <f>$F$1</f>
        <v>3.8</v>
      </c>
      <c r="G175" s="138">
        <f>ROUND(E175*F175,2)</f>
        <v>95</v>
      </c>
      <c r="H175" s="138"/>
      <c r="I175" s="138">
        <f t="shared" ref="I175:I184" si="76">ROUND(G175*$I$1,2)</f>
        <v>7.6</v>
      </c>
      <c r="J175" s="139">
        <f t="shared" ref="J175:J189" si="77">SUM(G175:I175)</f>
        <v>102.6</v>
      </c>
      <c r="K175" s="140">
        <f t="shared" ref="K175:K189" si="78">ROUND(D175*E175,2)</f>
        <v>17.75</v>
      </c>
      <c r="L175" s="140">
        <f t="shared" ref="L175:L189" si="79">ROUND(D175*G175,2)</f>
        <v>67.45</v>
      </c>
      <c r="M175" s="140">
        <f t="shared" ref="M175:M204" si="80">ROUND(D175*H175,2)</f>
        <v>0</v>
      </c>
      <c r="N175" s="140">
        <f t="shared" ref="N175:N189" si="81">ROUND(I175*D175,2)</f>
        <v>5.4</v>
      </c>
      <c r="O175" s="140">
        <f t="shared" ref="O175:O204" si="82">SUM(L175:N175)</f>
        <v>72.850000000000009</v>
      </c>
    </row>
    <row r="176" spans="1:15" ht="14.25">
      <c r="A176" s="106" t="s">
        <v>451</v>
      </c>
      <c r="B176" s="44" t="s">
        <v>87</v>
      </c>
      <c r="C176" s="108" t="s">
        <v>12</v>
      </c>
      <c r="D176" s="93">
        <f>SUM(D175*1.08)</f>
        <v>0.76680000000000004</v>
      </c>
      <c r="E176" s="160"/>
      <c r="F176" s="160"/>
      <c r="G176" s="160"/>
      <c r="H176" s="160">
        <v>160</v>
      </c>
      <c r="I176" s="153">
        <f t="shared" si="76"/>
        <v>0</v>
      </c>
      <c r="J176" s="153">
        <f t="shared" si="77"/>
        <v>160</v>
      </c>
      <c r="K176" s="154">
        <f t="shared" si="78"/>
        <v>0</v>
      </c>
      <c r="L176" s="154">
        <f t="shared" si="79"/>
        <v>0</v>
      </c>
      <c r="M176" s="154">
        <f t="shared" si="80"/>
        <v>122.69</v>
      </c>
      <c r="N176" s="154">
        <f t="shared" si="81"/>
        <v>0</v>
      </c>
      <c r="O176" s="154">
        <f t="shared" si="82"/>
        <v>122.69</v>
      </c>
    </row>
    <row r="177" spans="1:15">
      <c r="A177" s="106" t="s">
        <v>452</v>
      </c>
      <c r="B177" s="44" t="s">
        <v>88</v>
      </c>
      <c r="C177" s="108" t="s">
        <v>43</v>
      </c>
      <c r="D177" s="93">
        <v>2.5</v>
      </c>
      <c r="E177" s="160"/>
      <c r="F177" s="160"/>
      <c r="G177" s="160"/>
      <c r="H177" s="160">
        <v>0.45</v>
      </c>
      <c r="I177" s="153">
        <f t="shared" si="76"/>
        <v>0</v>
      </c>
      <c r="J177" s="153">
        <f t="shared" si="77"/>
        <v>0.45</v>
      </c>
      <c r="K177" s="154">
        <f t="shared" si="78"/>
        <v>0</v>
      </c>
      <c r="L177" s="154">
        <f t="shared" si="79"/>
        <v>0</v>
      </c>
      <c r="M177" s="154">
        <f t="shared" si="80"/>
        <v>1.1299999999999999</v>
      </c>
      <c r="N177" s="154">
        <f t="shared" si="81"/>
        <v>0</v>
      </c>
      <c r="O177" s="154">
        <f t="shared" si="82"/>
        <v>1.1299999999999999</v>
      </c>
    </row>
    <row r="178" spans="1:15">
      <c r="A178" s="106" t="s">
        <v>453</v>
      </c>
      <c r="B178" s="44" t="s">
        <v>89</v>
      </c>
      <c r="C178" s="108" t="s">
        <v>41</v>
      </c>
      <c r="D178" s="93">
        <v>60</v>
      </c>
      <c r="E178" s="160"/>
      <c r="F178" s="160"/>
      <c r="G178" s="160"/>
      <c r="H178" s="160">
        <v>0.7</v>
      </c>
      <c r="I178" s="153">
        <f t="shared" si="76"/>
        <v>0</v>
      </c>
      <c r="J178" s="153">
        <f t="shared" si="77"/>
        <v>0.7</v>
      </c>
      <c r="K178" s="154">
        <f t="shared" si="78"/>
        <v>0</v>
      </c>
      <c r="L178" s="154">
        <f t="shared" si="79"/>
        <v>0</v>
      </c>
      <c r="M178" s="154">
        <f t="shared" si="80"/>
        <v>42</v>
      </c>
      <c r="N178" s="154">
        <f t="shared" si="81"/>
        <v>0</v>
      </c>
      <c r="O178" s="154">
        <f t="shared" si="82"/>
        <v>42</v>
      </c>
    </row>
    <row r="179" spans="1:15" ht="25.5">
      <c r="A179" s="106" t="s">
        <v>454</v>
      </c>
      <c r="B179" s="44" t="s">
        <v>90</v>
      </c>
      <c r="C179" s="108" t="s">
        <v>243</v>
      </c>
      <c r="D179" s="93">
        <v>1</v>
      </c>
      <c r="E179" s="160"/>
      <c r="F179" s="160"/>
      <c r="G179" s="160"/>
      <c r="H179" s="160">
        <v>15</v>
      </c>
      <c r="I179" s="153">
        <f t="shared" si="76"/>
        <v>0</v>
      </c>
      <c r="J179" s="153">
        <f t="shared" si="77"/>
        <v>15</v>
      </c>
      <c r="K179" s="154">
        <f t="shared" si="78"/>
        <v>0</v>
      </c>
      <c r="L179" s="154">
        <f t="shared" si="79"/>
        <v>0</v>
      </c>
      <c r="M179" s="154">
        <f t="shared" si="80"/>
        <v>15</v>
      </c>
      <c r="N179" s="154">
        <f t="shared" si="81"/>
        <v>0</v>
      </c>
      <c r="O179" s="154">
        <f t="shared" si="82"/>
        <v>15</v>
      </c>
    </row>
    <row r="180" spans="1:15" ht="14.25">
      <c r="A180" s="106" t="s">
        <v>455</v>
      </c>
      <c r="B180" s="22" t="s">
        <v>140</v>
      </c>
      <c r="C180" s="81" t="s">
        <v>124</v>
      </c>
      <c r="D180" s="101">
        <v>27</v>
      </c>
      <c r="E180" s="161">
        <v>0.6</v>
      </c>
      <c r="F180" s="138">
        <f>$F$1</f>
        <v>3.8</v>
      </c>
      <c r="G180" s="138">
        <f>ROUND(E180*F180,2)</f>
        <v>2.2799999999999998</v>
      </c>
      <c r="H180" s="138"/>
      <c r="I180" s="138">
        <f t="shared" si="76"/>
        <v>0.18</v>
      </c>
      <c r="J180" s="139">
        <f t="shared" si="77"/>
        <v>2.46</v>
      </c>
      <c r="K180" s="140">
        <f t="shared" si="78"/>
        <v>16.2</v>
      </c>
      <c r="L180" s="140">
        <f t="shared" si="79"/>
        <v>61.56</v>
      </c>
      <c r="M180" s="140">
        <f t="shared" si="80"/>
        <v>0</v>
      </c>
      <c r="N180" s="140">
        <f t="shared" si="81"/>
        <v>4.8600000000000003</v>
      </c>
      <c r="O180" s="140">
        <f t="shared" si="82"/>
        <v>66.42</v>
      </c>
    </row>
    <row r="181" spans="1:15" ht="14.25">
      <c r="A181" s="106" t="s">
        <v>456</v>
      </c>
      <c r="B181" s="44" t="s">
        <v>91</v>
      </c>
      <c r="C181" s="108" t="s">
        <v>12</v>
      </c>
      <c r="D181" s="93">
        <v>0.13</v>
      </c>
      <c r="E181" s="160"/>
      <c r="F181" s="160"/>
      <c r="G181" s="160"/>
      <c r="H181" s="160">
        <v>160</v>
      </c>
      <c r="I181" s="153">
        <f t="shared" si="76"/>
        <v>0</v>
      </c>
      <c r="J181" s="153">
        <f t="shared" si="77"/>
        <v>160</v>
      </c>
      <c r="K181" s="154">
        <f t="shared" si="78"/>
        <v>0</v>
      </c>
      <c r="L181" s="154">
        <f t="shared" si="79"/>
        <v>0</v>
      </c>
      <c r="M181" s="154">
        <f t="shared" si="80"/>
        <v>20.8</v>
      </c>
      <c r="N181" s="154">
        <f t="shared" si="81"/>
        <v>0</v>
      </c>
      <c r="O181" s="154">
        <f t="shared" si="82"/>
        <v>20.8</v>
      </c>
    </row>
    <row r="182" spans="1:15">
      <c r="A182" s="106" t="s">
        <v>457</v>
      </c>
      <c r="B182" s="44" t="s">
        <v>92</v>
      </c>
      <c r="C182" s="108" t="s">
        <v>243</v>
      </c>
      <c r="D182" s="93">
        <v>1</v>
      </c>
      <c r="E182" s="160"/>
      <c r="F182" s="160"/>
      <c r="G182" s="160"/>
      <c r="H182" s="160">
        <v>4.3</v>
      </c>
      <c r="I182" s="153">
        <f t="shared" si="76"/>
        <v>0</v>
      </c>
      <c r="J182" s="153">
        <f t="shared" si="77"/>
        <v>4.3</v>
      </c>
      <c r="K182" s="154">
        <f t="shared" si="78"/>
        <v>0</v>
      </c>
      <c r="L182" s="154">
        <f t="shared" si="79"/>
        <v>0</v>
      </c>
      <c r="M182" s="154">
        <f t="shared" si="80"/>
        <v>4.3</v>
      </c>
      <c r="N182" s="154">
        <f t="shared" si="81"/>
        <v>0</v>
      </c>
      <c r="O182" s="154">
        <f t="shared" si="82"/>
        <v>4.3</v>
      </c>
    </row>
    <row r="183" spans="1:15">
      <c r="A183" s="106" t="s">
        <v>458</v>
      </c>
      <c r="B183" s="11" t="s">
        <v>141</v>
      </c>
      <c r="C183" s="69" t="s">
        <v>43</v>
      </c>
      <c r="D183" s="101">
        <v>27</v>
      </c>
      <c r="E183" s="161">
        <v>0.22</v>
      </c>
      <c r="F183" s="138">
        <f>$F$1</f>
        <v>3.8</v>
      </c>
      <c r="G183" s="138">
        <f>ROUND(E183*F183,2)</f>
        <v>0.84</v>
      </c>
      <c r="H183" s="138"/>
      <c r="I183" s="138">
        <f t="shared" si="76"/>
        <v>7.0000000000000007E-2</v>
      </c>
      <c r="J183" s="139">
        <f t="shared" si="77"/>
        <v>0.90999999999999992</v>
      </c>
      <c r="K183" s="140">
        <f t="shared" si="78"/>
        <v>5.94</v>
      </c>
      <c r="L183" s="140">
        <f t="shared" si="79"/>
        <v>22.68</v>
      </c>
      <c r="M183" s="140">
        <f t="shared" si="80"/>
        <v>0</v>
      </c>
      <c r="N183" s="140">
        <f t="shared" si="81"/>
        <v>1.89</v>
      </c>
      <c r="O183" s="140">
        <f t="shared" si="82"/>
        <v>24.57</v>
      </c>
    </row>
    <row r="184" spans="1:15">
      <c r="A184" s="106" t="s">
        <v>459</v>
      </c>
      <c r="B184" s="109" t="s">
        <v>93</v>
      </c>
      <c r="C184" s="93" t="s">
        <v>43</v>
      </c>
      <c r="D184" s="93">
        <f>D183*1.2</f>
        <v>32.4</v>
      </c>
      <c r="E184" s="160"/>
      <c r="F184" s="160"/>
      <c r="G184" s="160"/>
      <c r="H184" s="160">
        <v>0.59</v>
      </c>
      <c r="I184" s="153">
        <f t="shared" si="76"/>
        <v>0</v>
      </c>
      <c r="J184" s="153">
        <f t="shared" si="77"/>
        <v>0.59</v>
      </c>
      <c r="K184" s="154">
        <f t="shared" si="78"/>
        <v>0</v>
      </c>
      <c r="L184" s="154">
        <f t="shared" si="79"/>
        <v>0</v>
      </c>
      <c r="M184" s="154">
        <f t="shared" si="80"/>
        <v>19.12</v>
      </c>
      <c r="N184" s="154">
        <f t="shared" si="81"/>
        <v>0</v>
      </c>
      <c r="O184" s="154">
        <f t="shared" si="82"/>
        <v>19.12</v>
      </c>
    </row>
    <row r="185" spans="1:15" ht="25.5">
      <c r="A185" s="106" t="s">
        <v>460</v>
      </c>
      <c r="B185" s="11" t="s">
        <v>305</v>
      </c>
      <c r="C185" s="69" t="s">
        <v>43</v>
      </c>
      <c r="D185" s="101">
        <v>14.56</v>
      </c>
      <c r="E185" s="161">
        <v>0.98</v>
      </c>
      <c r="F185" s="138">
        <f>$F$1</f>
        <v>3.8</v>
      </c>
      <c r="G185" s="138">
        <f>ROUND(E185*F185,2)</f>
        <v>3.72</v>
      </c>
      <c r="H185" s="138"/>
      <c r="I185" s="138">
        <f>ROUND(G185*$I$1,2)+0.25</f>
        <v>0.55000000000000004</v>
      </c>
      <c r="J185" s="139">
        <f t="shared" si="77"/>
        <v>4.2700000000000005</v>
      </c>
      <c r="K185" s="140">
        <f t="shared" si="78"/>
        <v>14.27</v>
      </c>
      <c r="L185" s="140">
        <f t="shared" si="79"/>
        <v>54.16</v>
      </c>
      <c r="M185" s="140">
        <f t="shared" si="80"/>
        <v>0</v>
      </c>
      <c r="N185" s="140">
        <f t="shared" si="81"/>
        <v>8.01</v>
      </c>
      <c r="O185" s="140">
        <f t="shared" si="82"/>
        <v>62.169999999999995</v>
      </c>
    </row>
    <row r="186" spans="1:15">
      <c r="A186" s="106" t="s">
        <v>461</v>
      </c>
      <c r="B186" s="44" t="s">
        <v>303</v>
      </c>
      <c r="C186" s="93" t="s">
        <v>43</v>
      </c>
      <c r="D186" s="110">
        <f>D185*1.25</f>
        <v>18.2</v>
      </c>
      <c r="E186" s="160"/>
      <c r="F186" s="160"/>
      <c r="G186" s="160"/>
      <c r="H186" s="160">
        <v>3.23</v>
      </c>
      <c r="I186" s="153">
        <f>ROUND(G186*$I$1,2)</f>
        <v>0</v>
      </c>
      <c r="J186" s="153">
        <f t="shared" si="77"/>
        <v>3.23</v>
      </c>
      <c r="K186" s="154">
        <f t="shared" si="78"/>
        <v>0</v>
      </c>
      <c r="L186" s="154">
        <f t="shared" si="79"/>
        <v>0</v>
      </c>
      <c r="M186" s="154">
        <f t="shared" si="80"/>
        <v>58.79</v>
      </c>
      <c r="N186" s="154">
        <f t="shared" si="81"/>
        <v>0</v>
      </c>
      <c r="O186" s="154">
        <f t="shared" si="82"/>
        <v>58.79</v>
      </c>
    </row>
    <row r="187" spans="1:15" ht="25.5">
      <c r="A187" s="106" t="s">
        <v>462</v>
      </c>
      <c r="B187" s="44" t="s">
        <v>304</v>
      </c>
      <c r="C187" s="16" t="s">
        <v>243</v>
      </c>
      <c r="D187" s="93">
        <v>1</v>
      </c>
      <c r="E187" s="160"/>
      <c r="F187" s="160"/>
      <c r="G187" s="160"/>
      <c r="H187" s="160">
        <v>10.199999999999999</v>
      </c>
      <c r="I187" s="153">
        <f>ROUND(G187*$I$1,2)</f>
        <v>0</v>
      </c>
      <c r="J187" s="153">
        <f t="shared" si="77"/>
        <v>10.199999999999999</v>
      </c>
      <c r="K187" s="154">
        <f t="shared" si="78"/>
        <v>0</v>
      </c>
      <c r="L187" s="154">
        <f t="shared" si="79"/>
        <v>0</v>
      </c>
      <c r="M187" s="154">
        <f t="shared" si="80"/>
        <v>10.199999999999999</v>
      </c>
      <c r="N187" s="154">
        <f t="shared" si="81"/>
        <v>0</v>
      </c>
      <c r="O187" s="154">
        <f t="shared" si="82"/>
        <v>10.199999999999999</v>
      </c>
    </row>
    <row r="188" spans="1:15" ht="25.5">
      <c r="A188" s="106" t="s">
        <v>463</v>
      </c>
      <c r="B188" s="13" t="s">
        <v>306</v>
      </c>
      <c r="C188" s="69" t="s">
        <v>43</v>
      </c>
      <c r="D188" s="101">
        <v>0.36</v>
      </c>
      <c r="E188" s="161">
        <v>1.3</v>
      </c>
      <c r="F188" s="138">
        <f>$F$1</f>
        <v>3.8</v>
      </c>
      <c r="G188" s="138">
        <f>ROUND(E188*F188,2)</f>
        <v>4.9400000000000004</v>
      </c>
      <c r="H188" s="138"/>
      <c r="I188" s="138">
        <f>ROUND(G188*$I$1,2)</f>
        <v>0.4</v>
      </c>
      <c r="J188" s="139">
        <f t="shared" si="77"/>
        <v>5.3400000000000007</v>
      </c>
      <c r="K188" s="140">
        <f t="shared" si="78"/>
        <v>0.47</v>
      </c>
      <c r="L188" s="140">
        <f t="shared" si="79"/>
        <v>1.78</v>
      </c>
      <c r="M188" s="140">
        <f t="shared" si="80"/>
        <v>0</v>
      </c>
      <c r="N188" s="140">
        <f t="shared" si="81"/>
        <v>0.14000000000000001</v>
      </c>
      <c r="O188" s="140">
        <f t="shared" si="82"/>
        <v>1.92</v>
      </c>
    </row>
    <row r="189" spans="1:15">
      <c r="A189" s="106" t="s">
        <v>464</v>
      </c>
      <c r="B189" s="44" t="s">
        <v>94</v>
      </c>
      <c r="C189" s="55" t="s">
        <v>14</v>
      </c>
      <c r="D189" s="110">
        <v>1</v>
      </c>
      <c r="E189" s="160"/>
      <c r="F189" s="160"/>
      <c r="G189" s="160"/>
      <c r="H189" s="160">
        <v>58</v>
      </c>
      <c r="I189" s="153">
        <f>ROUND(G189*$I$1,2)</f>
        <v>0</v>
      </c>
      <c r="J189" s="153">
        <f t="shared" si="77"/>
        <v>58</v>
      </c>
      <c r="K189" s="154">
        <f t="shared" si="78"/>
        <v>0</v>
      </c>
      <c r="L189" s="154">
        <f t="shared" si="79"/>
        <v>0</v>
      </c>
      <c r="M189" s="154">
        <f t="shared" si="80"/>
        <v>58</v>
      </c>
      <c r="N189" s="154">
        <f t="shared" si="81"/>
        <v>0</v>
      </c>
      <c r="O189" s="154">
        <f t="shared" si="82"/>
        <v>58</v>
      </c>
    </row>
    <row r="190" spans="1:15">
      <c r="A190" s="106" t="s">
        <v>465</v>
      </c>
      <c r="B190" s="44" t="s">
        <v>307</v>
      </c>
      <c r="C190" s="166" t="s">
        <v>243</v>
      </c>
      <c r="D190" s="110">
        <v>1</v>
      </c>
      <c r="E190" s="160"/>
      <c r="F190" s="163"/>
      <c r="G190" s="163"/>
      <c r="H190" s="163">
        <v>18</v>
      </c>
      <c r="I190" s="153"/>
      <c r="J190" s="153"/>
      <c r="K190" s="154"/>
      <c r="L190" s="154"/>
      <c r="M190" s="154">
        <f t="shared" si="80"/>
        <v>18</v>
      </c>
      <c r="N190" s="154"/>
      <c r="O190" s="154">
        <f t="shared" si="82"/>
        <v>18</v>
      </c>
    </row>
    <row r="191" spans="1:15" ht="38.25">
      <c r="A191" s="106" t="s">
        <v>466</v>
      </c>
      <c r="B191" s="22" t="s">
        <v>297</v>
      </c>
      <c r="C191" s="69" t="s">
        <v>42</v>
      </c>
      <c r="D191" s="101">
        <v>1</v>
      </c>
      <c r="E191" s="161">
        <v>1.5</v>
      </c>
      <c r="F191" s="138">
        <f>$F$1</f>
        <v>3.8</v>
      </c>
      <c r="G191" s="138">
        <f>ROUND(E191*F191,2)</f>
        <v>5.7</v>
      </c>
      <c r="H191" s="138"/>
      <c r="I191" s="138">
        <f t="shared" ref="I191:I204" si="83">ROUND(G191*$I$1,2)</f>
        <v>0.46</v>
      </c>
      <c r="J191" s="139">
        <f t="shared" ref="J191:J204" si="84">SUM(G191:I191)</f>
        <v>6.16</v>
      </c>
      <c r="K191" s="140">
        <f t="shared" ref="K191:K204" si="85">ROUND(D191*E191,2)</f>
        <v>1.5</v>
      </c>
      <c r="L191" s="140">
        <f t="shared" ref="L191:L204" si="86">ROUND(D191*G191,2)</f>
        <v>5.7</v>
      </c>
      <c r="M191" s="140">
        <f t="shared" si="80"/>
        <v>0</v>
      </c>
      <c r="N191" s="140">
        <f t="shared" ref="N191:N204" si="87">ROUND(I191*D191,2)</f>
        <v>0.46</v>
      </c>
      <c r="O191" s="140">
        <f t="shared" si="82"/>
        <v>6.16</v>
      </c>
    </row>
    <row r="192" spans="1:15" ht="38.25">
      <c r="A192" s="106" t="s">
        <v>467</v>
      </c>
      <c r="B192" s="111" t="s">
        <v>298</v>
      </c>
      <c r="C192" s="112" t="s">
        <v>243</v>
      </c>
      <c r="D192" s="92">
        <v>1</v>
      </c>
      <c r="E192" s="160"/>
      <c r="F192" s="160"/>
      <c r="G192" s="160"/>
      <c r="H192" s="160">
        <v>15.6</v>
      </c>
      <c r="I192" s="153">
        <f t="shared" si="83"/>
        <v>0</v>
      </c>
      <c r="J192" s="153">
        <f t="shared" si="84"/>
        <v>15.6</v>
      </c>
      <c r="K192" s="154">
        <f t="shared" si="85"/>
        <v>0</v>
      </c>
      <c r="L192" s="154">
        <f t="shared" si="86"/>
        <v>0</v>
      </c>
      <c r="M192" s="154">
        <f t="shared" si="80"/>
        <v>15.6</v>
      </c>
      <c r="N192" s="154">
        <f t="shared" si="87"/>
        <v>0</v>
      </c>
      <c r="O192" s="154">
        <f t="shared" si="82"/>
        <v>15.6</v>
      </c>
    </row>
    <row r="193" spans="1:15" ht="25.5">
      <c r="A193" s="106" t="s">
        <v>468</v>
      </c>
      <c r="B193" s="164" t="s">
        <v>302</v>
      </c>
      <c r="C193" s="56" t="s">
        <v>96</v>
      </c>
      <c r="D193" s="165">
        <v>1</v>
      </c>
      <c r="E193" s="160"/>
      <c r="F193" s="163"/>
      <c r="G193" s="163"/>
      <c r="H193" s="163">
        <v>2.2999999999999998</v>
      </c>
      <c r="I193" s="153">
        <f t="shared" si="83"/>
        <v>0</v>
      </c>
      <c r="J193" s="153">
        <f t="shared" si="84"/>
        <v>2.2999999999999998</v>
      </c>
      <c r="K193" s="154">
        <f t="shared" si="85"/>
        <v>0</v>
      </c>
      <c r="L193" s="154">
        <f t="shared" si="86"/>
        <v>0</v>
      </c>
      <c r="M193" s="154">
        <f t="shared" si="80"/>
        <v>2.2999999999999998</v>
      </c>
      <c r="N193" s="154">
        <f t="shared" si="87"/>
        <v>0</v>
      </c>
      <c r="O193" s="154">
        <f t="shared" si="82"/>
        <v>2.2999999999999998</v>
      </c>
    </row>
    <row r="194" spans="1:15">
      <c r="A194" s="106" t="s">
        <v>469</v>
      </c>
      <c r="B194" s="164" t="s">
        <v>301</v>
      </c>
      <c r="C194" s="112" t="s">
        <v>41</v>
      </c>
      <c r="D194" s="165">
        <v>0.5</v>
      </c>
      <c r="E194" s="160"/>
      <c r="F194" s="163"/>
      <c r="G194" s="163"/>
      <c r="H194" s="163">
        <v>0.5</v>
      </c>
      <c r="I194" s="153">
        <f t="shared" si="83"/>
        <v>0</v>
      </c>
      <c r="J194" s="153">
        <f t="shared" si="84"/>
        <v>0.5</v>
      </c>
      <c r="K194" s="154">
        <f t="shared" si="85"/>
        <v>0</v>
      </c>
      <c r="L194" s="154">
        <f t="shared" si="86"/>
        <v>0</v>
      </c>
      <c r="M194" s="154">
        <f t="shared" si="80"/>
        <v>0.25</v>
      </c>
      <c r="N194" s="154">
        <f t="shared" si="87"/>
        <v>0</v>
      </c>
      <c r="O194" s="154">
        <f t="shared" si="82"/>
        <v>0.25</v>
      </c>
    </row>
    <row r="195" spans="1:15" ht="14.25">
      <c r="A195" s="106" t="s">
        <v>470</v>
      </c>
      <c r="B195" s="113" t="s">
        <v>142</v>
      </c>
      <c r="C195" s="46" t="s">
        <v>124</v>
      </c>
      <c r="D195" s="114">
        <v>14.56</v>
      </c>
      <c r="E195" s="161">
        <v>0.5</v>
      </c>
      <c r="F195" s="138">
        <f>$F$1</f>
        <v>3.8</v>
      </c>
      <c r="G195" s="138">
        <f>ROUND(E195*F195,2)</f>
        <v>1.9</v>
      </c>
      <c r="H195" s="138"/>
      <c r="I195" s="138">
        <f t="shared" si="83"/>
        <v>0.15</v>
      </c>
      <c r="J195" s="139">
        <f t="shared" si="84"/>
        <v>2.0499999999999998</v>
      </c>
      <c r="K195" s="140">
        <f t="shared" si="85"/>
        <v>7.28</v>
      </c>
      <c r="L195" s="140">
        <f t="shared" si="86"/>
        <v>27.66</v>
      </c>
      <c r="M195" s="140">
        <f t="shared" si="80"/>
        <v>0</v>
      </c>
      <c r="N195" s="140">
        <f t="shared" si="87"/>
        <v>2.1800000000000002</v>
      </c>
      <c r="O195" s="140">
        <f t="shared" si="82"/>
        <v>29.84</v>
      </c>
    </row>
    <row r="196" spans="1:15" ht="14.25">
      <c r="A196" s="106" t="s">
        <v>471</v>
      </c>
      <c r="B196" s="44" t="s">
        <v>300</v>
      </c>
      <c r="C196" s="108" t="s">
        <v>12</v>
      </c>
      <c r="D196" s="93">
        <f>ROUND(SUM(D195*1.08*0.025),1)</f>
        <v>0.4</v>
      </c>
      <c r="E196" s="160"/>
      <c r="F196" s="160"/>
      <c r="G196" s="160"/>
      <c r="H196" s="160">
        <v>160</v>
      </c>
      <c r="I196" s="153">
        <f t="shared" si="83"/>
        <v>0</v>
      </c>
      <c r="J196" s="153">
        <f t="shared" si="84"/>
        <v>160</v>
      </c>
      <c r="K196" s="154">
        <f t="shared" si="85"/>
        <v>0</v>
      </c>
      <c r="L196" s="154">
        <f t="shared" si="86"/>
        <v>0</v>
      </c>
      <c r="M196" s="154">
        <f t="shared" si="80"/>
        <v>64</v>
      </c>
      <c r="N196" s="154">
        <f t="shared" si="87"/>
        <v>0</v>
      </c>
      <c r="O196" s="154">
        <f t="shared" si="82"/>
        <v>64</v>
      </c>
    </row>
    <row r="197" spans="1:15" ht="25.5">
      <c r="A197" s="106" t="s">
        <v>472</v>
      </c>
      <c r="B197" s="11" t="s">
        <v>299</v>
      </c>
      <c r="C197" s="69" t="s">
        <v>96</v>
      </c>
      <c r="D197" s="101">
        <f>D185</f>
        <v>14.56</v>
      </c>
      <c r="E197" s="161">
        <v>0.15</v>
      </c>
      <c r="F197" s="138">
        <f>$F$1</f>
        <v>3.8</v>
      </c>
      <c r="G197" s="138">
        <f>ROUND(E197*F197,2)</f>
        <v>0.56999999999999995</v>
      </c>
      <c r="H197" s="138"/>
      <c r="I197" s="138">
        <f t="shared" si="83"/>
        <v>0.05</v>
      </c>
      <c r="J197" s="139">
        <f t="shared" si="84"/>
        <v>0.62</v>
      </c>
      <c r="K197" s="140">
        <f t="shared" si="85"/>
        <v>2.1800000000000002</v>
      </c>
      <c r="L197" s="140">
        <f t="shared" si="86"/>
        <v>8.3000000000000007</v>
      </c>
      <c r="M197" s="140">
        <f t="shared" si="80"/>
        <v>0</v>
      </c>
      <c r="N197" s="140">
        <f t="shared" si="87"/>
        <v>0.73</v>
      </c>
      <c r="O197" s="140">
        <f t="shared" si="82"/>
        <v>9.0300000000000011</v>
      </c>
    </row>
    <row r="198" spans="1:15" ht="14.25">
      <c r="A198" s="106" t="s">
        <v>473</v>
      </c>
      <c r="B198" s="12" t="s">
        <v>95</v>
      </c>
      <c r="C198" s="56" t="s">
        <v>96</v>
      </c>
      <c r="D198" s="93">
        <f>D197</f>
        <v>14.56</v>
      </c>
      <c r="E198" s="160"/>
      <c r="F198" s="160"/>
      <c r="G198" s="160"/>
      <c r="H198" s="160">
        <v>3.12</v>
      </c>
      <c r="I198" s="153">
        <f t="shared" si="83"/>
        <v>0</v>
      </c>
      <c r="J198" s="153">
        <f t="shared" si="84"/>
        <v>3.12</v>
      </c>
      <c r="K198" s="154">
        <f t="shared" si="85"/>
        <v>0</v>
      </c>
      <c r="L198" s="154">
        <f t="shared" si="86"/>
        <v>0</v>
      </c>
      <c r="M198" s="154">
        <f t="shared" si="80"/>
        <v>45.43</v>
      </c>
      <c r="N198" s="154">
        <f t="shared" si="87"/>
        <v>0</v>
      </c>
      <c r="O198" s="154">
        <f t="shared" si="82"/>
        <v>45.43</v>
      </c>
    </row>
    <row r="199" spans="1:15" ht="14.25">
      <c r="A199" s="106" t="s">
        <v>474</v>
      </c>
      <c r="B199" s="12" t="s">
        <v>97</v>
      </c>
      <c r="C199" s="56" t="s">
        <v>96</v>
      </c>
      <c r="D199" s="93">
        <f>D197</f>
        <v>14.56</v>
      </c>
      <c r="E199" s="160"/>
      <c r="F199" s="160"/>
      <c r="G199" s="160"/>
      <c r="H199" s="160">
        <v>2.31</v>
      </c>
      <c r="I199" s="153">
        <f t="shared" si="83"/>
        <v>0</v>
      </c>
      <c r="J199" s="153">
        <f t="shared" si="84"/>
        <v>2.31</v>
      </c>
      <c r="K199" s="154">
        <f t="shared" si="85"/>
        <v>0</v>
      </c>
      <c r="L199" s="154">
        <f t="shared" si="86"/>
        <v>0</v>
      </c>
      <c r="M199" s="154">
        <f t="shared" si="80"/>
        <v>33.630000000000003</v>
      </c>
      <c r="N199" s="154">
        <f t="shared" si="87"/>
        <v>0</v>
      </c>
      <c r="O199" s="154">
        <f t="shared" si="82"/>
        <v>33.630000000000003</v>
      </c>
    </row>
    <row r="200" spans="1:15" ht="14.25">
      <c r="A200" s="106" t="s">
        <v>475</v>
      </c>
      <c r="B200" s="22" t="s">
        <v>143</v>
      </c>
      <c r="C200" s="69" t="s">
        <v>96</v>
      </c>
      <c r="D200" s="101">
        <v>27</v>
      </c>
      <c r="E200" s="161">
        <v>0.22</v>
      </c>
      <c r="F200" s="138">
        <f>$F$1</f>
        <v>3.8</v>
      </c>
      <c r="G200" s="138">
        <f>ROUND(E200*F200,2)</f>
        <v>0.84</v>
      </c>
      <c r="H200" s="138"/>
      <c r="I200" s="138">
        <f t="shared" si="83"/>
        <v>7.0000000000000007E-2</v>
      </c>
      <c r="J200" s="139">
        <f t="shared" si="84"/>
        <v>0.90999999999999992</v>
      </c>
      <c r="K200" s="140">
        <f t="shared" si="85"/>
        <v>5.94</v>
      </c>
      <c r="L200" s="140">
        <f t="shared" si="86"/>
        <v>22.68</v>
      </c>
      <c r="M200" s="140">
        <f t="shared" si="80"/>
        <v>0</v>
      </c>
      <c r="N200" s="140">
        <f t="shared" si="87"/>
        <v>1.89</v>
      </c>
      <c r="O200" s="140">
        <f t="shared" si="82"/>
        <v>24.57</v>
      </c>
    </row>
    <row r="201" spans="1:15" ht="14.25">
      <c r="A201" s="106" t="s">
        <v>476</v>
      </c>
      <c r="B201" s="12" t="s">
        <v>98</v>
      </c>
      <c r="C201" s="56" t="s">
        <v>96</v>
      </c>
      <c r="D201" s="57">
        <f>D200*1.1</f>
        <v>29.700000000000003</v>
      </c>
      <c r="E201" s="160"/>
      <c r="F201" s="160"/>
      <c r="G201" s="160"/>
      <c r="H201" s="160">
        <v>0.68</v>
      </c>
      <c r="I201" s="153">
        <f t="shared" si="83"/>
        <v>0</v>
      </c>
      <c r="J201" s="153">
        <f t="shared" si="84"/>
        <v>0.68</v>
      </c>
      <c r="K201" s="154">
        <f t="shared" si="85"/>
        <v>0</v>
      </c>
      <c r="L201" s="154">
        <f t="shared" si="86"/>
        <v>0</v>
      </c>
      <c r="M201" s="154">
        <f t="shared" si="80"/>
        <v>20.2</v>
      </c>
      <c r="N201" s="154">
        <f t="shared" si="87"/>
        <v>0</v>
      </c>
      <c r="O201" s="154">
        <f t="shared" si="82"/>
        <v>20.2</v>
      </c>
    </row>
    <row r="202" spans="1:15" ht="14.25">
      <c r="A202" s="106" t="s">
        <v>477</v>
      </c>
      <c r="B202" s="22" t="s">
        <v>144</v>
      </c>
      <c r="C202" s="46" t="s">
        <v>124</v>
      </c>
      <c r="D202" s="101">
        <v>2.88</v>
      </c>
      <c r="E202" s="161">
        <v>0.95</v>
      </c>
      <c r="F202" s="138">
        <f>$F$1</f>
        <v>3.8</v>
      </c>
      <c r="G202" s="138">
        <f>ROUND(E202*F202,2)</f>
        <v>3.61</v>
      </c>
      <c r="H202" s="138"/>
      <c r="I202" s="138">
        <f t="shared" si="83"/>
        <v>0.28999999999999998</v>
      </c>
      <c r="J202" s="139">
        <f t="shared" si="84"/>
        <v>3.9</v>
      </c>
      <c r="K202" s="140">
        <f t="shared" si="85"/>
        <v>2.74</v>
      </c>
      <c r="L202" s="140">
        <f t="shared" si="86"/>
        <v>10.4</v>
      </c>
      <c r="M202" s="140">
        <f t="shared" si="80"/>
        <v>0</v>
      </c>
      <c r="N202" s="140">
        <f t="shared" si="87"/>
        <v>0.84</v>
      </c>
      <c r="O202" s="140">
        <f t="shared" si="82"/>
        <v>11.24</v>
      </c>
    </row>
    <row r="203" spans="1:15">
      <c r="A203" s="106" t="s">
        <v>478</v>
      </c>
      <c r="B203" s="44" t="s">
        <v>99</v>
      </c>
      <c r="C203" s="108" t="s">
        <v>43</v>
      </c>
      <c r="D203" s="93">
        <f>D202*1.08</f>
        <v>3.1104000000000003</v>
      </c>
      <c r="E203" s="160"/>
      <c r="F203" s="160"/>
      <c r="G203" s="160"/>
      <c r="H203" s="160">
        <v>6.2</v>
      </c>
      <c r="I203" s="153">
        <f t="shared" si="83"/>
        <v>0</v>
      </c>
      <c r="J203" s="153">
        <f t="shared" si="84"/>
        <v>6.2</v>
      </c>
      <c r="K203" s="154">
        <f t="shared" si="85"/>
        <v>0</v>
      </c>
      <c r="L203" s="154">
        <f t="shared" si="86"/>
        <v>0</v>
      </c>
      <c r="M203" s="154">
        <f t="shared" si="80"/>
        <v>19.28</v>
      </c>
      <c r="N203" s="154">
        <f t="shared" si="87"/>
        <v>0</v>
      </c>
      <c r="O203" s="154">
        <f t="shared" si="82"/>
        <v>19.28</v>
      </c>
    </row>
    <row r="204" spans="1:15" ht="13.5" thickBot="1">
      <c r="A204" s="106" t="s">
        <v>479</v>
      </c>
      <c r="B204" s="104" t="s">
        <v>308</v>
      </c>
      <c r="C204" s="115" t="s">
        <v>243</v>
      </c>
      <c r="D204" s="105">
        <v>1</v>
      </c>
      <c r="E204" s="160"/>
      <c r="F204" s="160"/>
      <c r="G204" s="160"/>
      <c r="H204" s="160">
        <v>2.2999999999999998</v>
      </c>
      <c r="I204" s="153">
        <f t="shared" si="83"/>
        <v>0</v>
      </c>
      <c r="J204" s="153">
        <f t="shared" si="84"/>
        <v>2.2999999999999998</v>
      </c>
      <c r="K204" s="154">
        <f t="shared" si="85"/>
        <v>0</v>
      </c>
      <c r="L204" s="154">
        <f t="shared" si="86"/>
        <v>0</v>
      </c>
      <c r="M204" s="154">
        <f t="shared" si="80"/>
        <v>2.2999999999999998</v>
      </c>
      <c r="N204" s="154">
        <f t="shared" si="87"/>
        <v>0</v>
      </c>
      <c r="O204" s="154">
        <f t="shared" si="82"/>
        <v>2.2999999999999998</v>
      </c>
    </row>
    <row r="205" spans="1:15" ht="15.75" thickBot="1">
      <c r="A205" s="312" t="s">
        <v>309</v>
      </c>
      <c r="B205" s="313"/>
      <c r="C205" s="313"/>
      <c r="D205" s="313"/>
      <c r="E205" s="313"/>
      <c r="F205" s="313"/>
      <c r="G205" s="313"/>
      <c r="H205" s="313"/>
      <c r="I205" s="313"/>
      <c r="J205" s="314"/>
    </row>
    <row r="206" spans="1:15" ht="38.25">
      <c r="A206" s="61" t="s">
        <v>480</v>
      </c>
      <c r="B206" s="78" t="s">
        <v>145</v>
      </c>
      <c r="C206" s="30" t="s">
        <v>34</v>
      </c>
      <c r="D206" s="116">
        <f>SUM(D207:D208)</f>
        <v>3</v>
      </c>
      <c r="E206" s="161">
        <v>3.5</v>
      </c>
      <c r="F206" s="138">
        <f>$F$1</f>
        <v>3.8</v>
      </c>
      <c r="G206" s="138">
        <f>ROUND(E206*F206,2)</f>
        <v>13.3</v>
      </c>
      <c r="H206" s="138"/>
      <c r="I206" s="138">
        <f t="shared" ref="I206:I213" si="88">ROUND(G206*$I$1,2)</f>
        <v>1.06</v>
      </c>
      <c r="J206" s="139">
        <f t="shared" ref="J206:J213" si="89">SUM(G206:I206)</f>
        <v>14.360000000000001</v>
      </c>
      <c r="K206" s="140">
        <f t="shared" ref="K206:K213" si="90">ROUND(D206*E206,2)</f>
        <v>10.5</v>
      </c>
      <c r="L206" s="140">
        <f t="shared" ref="L206:L213" si="91">ROUND(D206*G206,2)</f>
        <v>39.9</v>
      </c>
      <c r="M206" s="140">
        <f t="shared" ref="M206:M213" si="92">ROUND(D206*H206,2)</f>
        <v>0</v>
      </c>
      <c r="N206" s="140">
        <f t="shared" ref="N206:N213" si="93">ROUND(I206*D206,2)</f>
        <v>3.18</v>
      </c>
      <c r="O206" s="140">
        <f t="shared" ref="O206:O213" si="94">SUM(L206:N206)</f>
        <v>43.08</v>
      </c>
    </row>
    <row r="207" spans="1:15">
      <c r="A207" s="61" t="s">
        <v>481</v>
      </c>
      <c r="B207" s="44" t="s">
        <v>100</v>
      </c>
      <c r="C207" s="16" t="s">
        <v>34</v>
      </c>
      <c r="D207" s="84">
        <v>1</v>
      </c>
      <c r="E207" s="160"/>
      <c r="F207" s="160"/>
      <c r="G207" s="160"/>
      <c r="H207" s="160">
        <v>45</v>
      </c>
      <c r="I207" s="153">
        <f t="shared" si="88"/>
        <v>0</v>
      </c>
      <c r="J207" s="153">
        <f t="shared" si="89"/>
        <v>45</v>
      </c>
      <c r="K207" s="154">
        <f t="shared" si="90"/>
        <v>0</v>
      </c>
      <c r="L207" s="154">
        <f t="shared" si="91"/>
        <v>0</v>
      </c>
      <c r="M207" s="154">
        <f t="shared" si="92"/>
        <v>45</v>
      </c>
      <c r="N207" s="154">
        <f t="shared" si="93"/>
        <v>0</v>
      </c>
      <c r="O207" s="154">
        <f t="shared" si="94"/>
        <v>45</v>
      </c>
    </row>
    <row r="208" spans="1:15">
      <c r="A208" s="61" t="s">
        <v>482</v>
      </c>
      <c r="B208" s="44" t="s">
        <v>101</v>
      </c>
      <c r="C208" s="16" t="s">
        <v>34</v>
      </c>
      <c r="D208" s="84">
        <v>2</v>
      </c>
      <c r="E208" s="160"/>
      <c r="F208" s="160"/>
      <c r="G208" s="160"/>
      <c r="H208" s="160">
        <v>52</v>
      </c>
      <c r="I208" s="153">
        <f t="shared" si="88"/>
        <v>0</v>
      </c>
      <c r="J208" s="153">
        <f t="shared" si="89"/>
        <v>52</v>
      </c>
      <c r="K208" s="154">
        <f t="shared" si="90"/>
        <v>0</v>
      </c>
      <c r="L208" s="154">
        <f t="shared" si="91"/>
        <v>0</v>
      </c>
      <c r="M208" s="154">
        <f t="shared" si="92"/>
        <v>104</v>
      </c>
      <c r="N208" s="154">
        <f t="shared" si="93"/>
        <v>0</v>
      </c>
      <c r="O208" s="154">
        <f t="shared" si="94"/>
        <v>104</v>
      </c>
    </row>
    <row r="209" spans="1:15">
      <c r="A209" s="61" t="s">
        <v>483</v>
      </c>
      <c r="B209" s="44" t="s">
        <v>102</v>
      </c>
      <c r="C209" s="16" t="s">
        <v>34</v>
      </c>
      <c r="D209" s="84">
        <v>3</v>
      </c>
      <c r="E209" s="160"/>
      <c r="F209" s="160"/>
      <c r="G209" s="160"/>
      <c r="H209" s="160">
        <v>2.4</v>
      </c>
      <c r="I209" s="153">
        <f t="shared" si="88"/>
        <v>0</v>
      </c>
      <c r="J209" s="153">
        <f t="shared" si="89"/>
        <v>2.4</v>
      </c>
      <c r="K209" s="154">
        <f t="shared" si="90"/>
        <v>0</v>
      </c>
      <c r="L209" s="154">
        <f t="shared" si="91"/>
        <v>0</v>
      </c>
      <c r="M209" s="154">
        <f t="shared" si="92"/>
        <v>7.2</v>
      </c>
      <c r="N209" s="154">
        <f t="shared" si="93"/>
        <v>0</v>
      </c>
      <c r="O209" s="154">
        <f t="shared" si="94"/>
        <v>7.2</v>
      </c>
    </row>
    <row r="210" spans="1:15" ht="25.5">
      <c r="A210" s="61" t="s">
        <v>484</v>
      </c>
      <c r="B210" s="86" t="s">
        <v>103</v>
      </c>
      <c r="C210" s="87" t="s">
        <v>46</v>
      </c>
      <c r="D210" s="117">
        <v>3</v>
      </c>
      <c r="E210" s="160"/>
      <c r="F210" s="160"/>
      <c r="G210" s="160"/>
      <c r="H210" s="160">
        <v>2.5</v>
      </c>
      <c r="I210" s="153">
        <f t="shared" si="88"/>
        <v>0</v>
      </c>
      <c r="J210" s="153">
        <f t="shared" si="89"/>
        <v>2.5</v>
      </c>
      <c r="K210" s="154">
        <f t="shared" si="90"/>
        <v>0</v>
      </c>
      <c r="L210" s="154">
        <f t="shared" si="91"/>
        <v>0</v>
      </c>
      <c r="M210" s="154">
        <f t="shared" si="92"/>
        <v>7.5</v>
      </c>
      <c r="N210" s="154">
        <f t="shared" si="93"/>
        <v>0</v>
      </c>
      <c r="O210" s="154">
        <f t="shared" si="94"/>
        <v>7.5</v>
      </c>
    </row>
    <row r="211" spans="1:15" ht="38.25">
      <c r="A211" s="61" t="s">
        <v>485</v>
      </c>
      <c r="B211" s="78" t="s">
        <v>146</v>
      </c>
      <c r="C211" s="30" t="s">
        <v>34</v>
      </c>
      <c r="D211" s="116">
        <v>1</v>
      </c>
      <c r="E211" s="161">
        <v>5</v>
      </c>
      <c r="F211" s="138">
        <f>$F$1</f>
        <v>3.8</v>
      </c>
      <c r="G211" s="138">
        <f>ROUND(E211*F211,2)</f>
        <v>19</v>
      </c>
      <c r="H211" s="138"/>
      <c r="I211" s="138">
        <f t="shared" si="88"/>
        <v>1.52</v>
      </c>
      <c r="J211" s="139">
        <f t="shared" si="89"/>
        <v>20.52</v>
      </c>
      <c r="K211" s="140">
        <f t="shared" si="90"/>
        <v>5</v>
      </c>
      <c r="L211" s="140">
        <f t="shared" si="91"/>
        <v>19</v>
      </c>
      <c r="M211" s="140">
        <f t="shared" si="92"/>
        <v>0</v>
      </c>
      <c r="N211" s="140">
        <f t="shared" si="93"/>
        <v>1.52</v>
      </c>
      <c r="O211" s="140">
        <f t="shared" si="94"/>
        <v>20.52</v>
      </c>
    </row>
    <row r="212" spans="1:15">
      <c r="A212" s="61" t="s">
        <v>486</v>
      </c>
      <c r="B212" s="44" t="s">
        <v>104</v>
      </c>
      <c r="C212" s="16" t="s">
        <v>34</v>
      </c>
      <c r="D212" s="84">
        <v>1</v>
      </c>
      <c r="E212" s="160"/>
      <c r="F212" s="160"/>
      <c r="G212" s="160"/>
      <c r="H212" s="160">
        <v>105</v>
      </c>
      <c r="I212" s="153">
        <f t="shared" si="88"/>
        <v>0</v>
      </c>
      <c r="J212" s="153">
        <f t="shared" si="89"/>
        <v>105</v>
      </c>
      <c r="K212" s="154">
        <f t="shared" si="90"/>
        <v>0</v>
      </c>
      <c r="L212" s="154">
        <f t="shared" si="91"/>
        <v>0</v>
      </c>
      <c r="M212" s="154">
        <f t="shared" si="92"/>
        <v>105</v>
      </c>
      <c r="N212" s="154">
        <f t="shared" si="93"/>
        <v>0</v>
      </c>
      <c r="O212" s="154">
        <f t="shared" si="94"/>
        <v>105</v>
      </c>
    </row>
    <row r="213" spans="1:15" ht="26.25" thickBot="1">
      <c r="A213" s="61" t="s">
        <v>487</v>
      </c>
      <c r="B213" s="86" t="s">
        <v>103</v>
      </c>
      <c r="C213" s="87" t="s">
        <v>46</v>
      </c>
      <c r="D213" s="117">
        <v>1</v>
      </c>
      <c r="E213" s="160"/>
      <c r="F213" s="160"/>
      <c r="G213" s="160"/>
      <c r="H213" s="160">
        <v>5.2</v>
      </c>
      <c r="I213" s="153">
        <f t="shared" si="88"/>
        <v>0</v>
      </c>
      <c r="J213" s="153">
        <f t="shared" si="89"/>
        <v>5.2</v>
      </c>
      <c r="K213" s="154">
        <f t="shared" si="90"/>
        <v>0</v>
      </c>
      <c r="L213" s="154">
        <f t="shared" si="91"/>
        <v>0</v>
      </c>
      <c r="M213" s="154">
        <f t="shared" si="92"/>
        <v>5.2</v>
      </c>
      <c r="N213" s="154">
        <f t="shared" si="93"/>
        <v>0</v>
      </c>
      <c r="O213" s="154">
        <f t="shared" si="94"/>
        <v>5.2</v>
      </c>
    </row>
    <row r="214" spans="1:15" ht="15.75" thickBot="1">
      <c r="A214" s="312" t="s">
        <v>317</v>
      </c>
      <c r="B214" s="313"/>
      <c r="C214" s="313"/>
      <c r="D214" s="313"/>
      <c r="E214" s="313"/>
      <c r="F214" s="313"/>
      <c r="G214" s="313"/>
      <c r="H214" s="313"/>
      <c r="I214" s="313"/>
      <c r="J214" s="314"/>
    </row>
    <row r="215" spans="1:15" s="15" customFormat="1" ht="51">
      <c r="A215" s="61" t="s">
        <v>488</v>
      </c>
      <c r="B215" s="78" t="s">
        <v>310</v>
      </c>
      <c r="C215" s="161" t="s">
        <v>43</v>
      </c>
      <c r="D215" s="138">
        <v>10.3</v>
      </c>
      <c r="E215" s="161">
        <v>0.8</v>
      </c>
      <c r="F215" s="138">
        <f>$F$1</f>
        <v>3.8</v>
      </c>
      <c r="G215" s="138">
        <f>ROUND(E215*F215,2)</f>
        <v>3.04</v>
      </c>
      <c r="H215" s="138"/>
      <c r="I215" s="138">
        <f>ROUND(G215*$I$1,2)</f>
        <v>0.24</v>
      </c>
      <c r="J215" s="139">
        <f t="shared" ref="J215:J224" si="95">SUM(G215:I215)</f>
        <v>3.2800000000000002</v>
      </c>
      <c r="K215" s="140">
        <f t="shared" ref="K215:K224" si="96">ROUND(D215*E215,2)</f>
        <v>8.24</v>
      </c>
      <c r="L215" s="140">
        <f t="shared" ref="L215:L224" si="97">ROUND(D215*G215,2)</f>
        <v>31.31</v>
      </c>
      <c r="M215" s="140">
        <f t="shared" ref="M215:M224" si="98">ROUND(D215*H215,2)</f>
        <v>0</v>
      </c>
      <c r="N215" s="140">
        <f t="shared" ref="N215:N224" si="99">ROUND(I215*D215,2)</f>
        <v>2.4700000000000002</v>
      </c>
      <c r="O215" s="140">
        <f t="shared" ref="O215:O224" si="100">SUM(L215:N215)</f>
        <v>33.78</v>
      </c>
    </row>
    <row r="216" spans="1:15" ht="14.25">
      <c r="A216" s="61" t="s">
        <v>489</v>
      </c>
      <c r="B216" s="83" t="s">
        <v>265</v>
      </c>
      <c r="C216" s="16" t="s">
        <v>12</v>
      </c>
      <c r="D216" s="84">
        <f>ROUND(SUM(D215*0.1)*1.5,1)</f>
        <v>1.5</v>
      </c>
      <c r="E216" s="160"/>
      <c r="F216" s="160"/>
      <c r="G216" s="160"/>
      <c r="H216" s="160">
        <v>11</v>
      </c>
      <c r="I216" s="153">
        <f>ROUND(G216*$I$1,2)</f>
        <v>0</v>
      </c>
      <c r="J216" s="153">
        <f t="shared" si="95"/>
        <v>11</v>
      </c>
      <c r="K216" s="154">
        <f t="shared" si="96"/>
        <v>0</v>
      </c>
      <c r="L216" s="154">
        <f t="shared" si="97"/>
        <v>0</v>
      </c>
      <c r="M216" s="154">
        <f t="shared" si="98"/>
        <v>16.5</v>
      </c>
      <c r="N216" s="154">
        <f t="shared" si="99"/>
        <v>0</v>
      </c>
      <c r="O216" s="154">
        <f t="shared" si="100"/>
        <v>16.5</v>
      </c>
    </row>
    <row r="217" spans="1:15" ht="14.25">
      <c r="A217" s="61" t="s">
        <v>490</v>
      </c>
      <c r="B217" s="83" t="s">
        <v>311</v>
      </c>
      <c r="C217" s="16" t="s">
        <v>12</v>
      </c>
      <c r="D217" s="77">
        <f>ROUND(SUM(D215*0.1)*1.04,1)</f>
        <v>1.1000000000000001</v>
      </c>
      <c r="E217" s="160"/>
      <c r="F217" s="160"/>
      <c r="G217" s="160"/>
      <c r="H217" s="160">
        <v>49</v>
      </c>
      <c r="I217" s="153">
        <f>ROUND(G217*$I$1,2)</f>
        <v>0</v>
      </c>
      <c r="J217" s="153">
        <f t="shared" si="95"/>
        <v>49</v>
      </c>
      <c r="K217" s="154">
        <f t="shared" si="96"/>
        <v>0</v>
      </c>
      <c r="L217" s="154">
        <f t="shared" si="97"/>
        <v>0</v>
      </c>
      <c r="M217" s="154">
        <f t="shared" si="98"/>
        <v>53.9</v>
      </c>
      <c r="N217" s="154">
        <f t="shared" si="99"/>
        <v>0</v>
      </c>
      <c r="O217" s="154">
        <f t="shared" si="100"/>
        <v>53.9</v>
      </c>
    </row>
    <row r="218" spans="1:15">
      <c r="A218" s="61" t="s">
        <v>491</v>
      </c>
      <c r="B218" s="12" t="s">
        <v>105</v>
      </c>
      <c r="C218" s="72" t="s">
        <v>43</v>
      </c>
      <c r="D218" s="72">
        <v>15</v>
      </c>
      <c r="E218" s="160"/>
      <c r="F218" s="160"/>
      <c r="G218" s="160"/>
      <c r="H218" s="160">
        <v>0.45</v>
      </c>
      <c r="I218" s="153">
        <f>ROUND(G218*$I$1,2)</f>
        <v>0</v>
      </c>
      <c r="J218" s="153">
        <f t="shared" si="95"/>
        <v>0.45</v>
      </c>
      <c r="K218" s="154">
        <f t="shared" si="96"/>
        <v>0</v>
      </c>
      <c r="L218" s="154">
        <f t="shared" si="97"/>
        <v>0</v>
      </c>
      <c r="M218" s="154">
        <f t="shared" si="98"/>
        <v>6.75</v>
      </c>
      <c r="N218" s="154">
        <f t="shared" si="99"/>
        <v>0</v>
      </c>
      <c r="O218" s="154">
        <f t="shared" si="100"/>
        <v>6.75</v>
      </c>
    </row>
    <row r="219" spans="1:15">
      <c r="A219" s="61" t="s">
        <v>492</v>
      </c>
      <c r="B219" s="44" t="s">
        <v>0</v>
      </c>
      <c r="C219" s="16" t="s">
        <v>46</v>
      </c>
      <c r="D219" s="72">
        <v>1</v>
      </c>
      <c r="E219" s="160"/>
      <c r="F219" s="160"/>
      <c r="G219" s="160"/>
      <c r="H219" s="160">
        <v>2.1</v>
      </c>
      <c r="I219" s="153">
        <f>ROUND(G219*$I$1,2)</f>
        <v>0</v>
      </c>
      <c r="J219" s="153">
        <f t="shared" si="95"/>
        <v>2.1</v>
      </c>
      <c r="K219" s="154">
        <f t="shared" si="96"/>
        <v>0</v>
      </c>
      <c r="L219" s="154">
        <f t="shared" si="97"/>
        <v>0</v>
      </c>
      <c r="M219" s="154">
        <f t="shared" si="98"/>
        <v>2.1</v>
      </c>
      <c r="N219" s="154">
        <f t="shared" si="99"/>
        <v>0</v>
      </c>
      <c r="O219" s="154">
        <f t="shared" si="100"/>
        <v>2.1</v>
      </c>
    </row>
    <row r="220" spans="1:15" s="15" customFormat="1" ht="38.25">
      <c r="A220" s="61" t="s">
        <v>493</v>
      </c>
      <c r="B220" s="78" t="s">
        <v>312</v>
      </c>
      <c r="C220" s="161" t="s">
        <v>13</v>
      </c>
      <c r="D220" s="138">
        <v>0.1</v>
      </c>
      <c r="E220" s="161">
        <v>24</v>
      </c>
      <c r="F220" s="138">
        <f>$F$1</f>
        <v>3.8</v>
      </c>
      <c r="G220" s="138">
        <f>ROUND(E220*F220,2)</f>
        <v>91.2</v>
      </c>
      <c r="H220" s="138"/>
      <c r="I220" s="138">
        <f>ROUND(G220*$I$1,2)+5</f>
        <v>12.3</v>
      </c>
      <c r="J220" s="139">
        <f t="shared" si="95"/>
        <v>103.5</v>
      </c>
      <c r="K220" s="140">
        <f t="shared" si="96"/>
        <v>2.4</v>
      </c>
      <c r="L220" s="140">
        <f t="shared" si="97"/>
        <v>9.1199999999999992</v>
      </c>
      <c r="M220" s="140">
        <f t="shared" si="98"/>
        <v>0</v>
      </c>
      <c r="N220" s="140">
        <f t="shared" si="99"/>
        <v>1.23</v>
      </c>
      <c r="O220" s="140">
        <f t="shared" si="100"/>
        <v>10.35</v>
      </c>
    </row>
    <row r="221" spans="1:15" s="15" customFormat="1" ht="14.25">
      <c r="A221" s="61" t="s">
        <v>494</v>
      </c>
      <c r="B221" s="78" t="s">
        <v>315</v>
      </c>
      <c r="C221" s="161" t="s">
        <v>124</v>
      </c>
      <c r="D221" s="138">
        <v>68</v>
      </c>
      <c r="E221" s="161">
        <v>0.01</v>
      </c>
      <c r="F221" s="138">
        <f>$F$1</f>
        <v>3.8</v>
      </c>
      <c r="G221" s="138">
        <f>ROUND(E221*F221,2)</f>
        <v>0.04</v>
      </c>
      <c r="H221" s="138"/>
      <c r="I221" s="138">
        <f>ROUND(G221*$I$1,2)+0.98</f>
        <v>0.98</v>
      </c>
      <c r="J221" s="139">
        <f t="shared" si="95"/>
        <v>1.02</v>
      </c>
      <c r="K221" s="140">
        <f t="shared" si="96"/>
        <v>0.68</v>
      </c>
      <c r="L221" s="140">
        <f t="shared" si="97"/>
        <v>2.72</v>
      </c>
      <c r="M221" s="140">
        <f t="shared" si="98"/>
        <v>0</v>
      </c>
      <c r="N221" s="140">
        <f t="shared" si="99"/>
        <v>66.64</v>
      </c>
      <c r="O221" s="140">
        <f t="shared" si="100"/>
        <v>69.36</v>
      </c>
    </row>
    <row r="222" spans="1:15" s="15" customFormat="1" ht="38.25">
      <c r="A222" s="61" t="s">
        <v>495</v>
      </c>
      <c r="B222" s="78" t="s">
        <v>314</v>
      </c>
      <c r="C222" s="161" t="s">
        <v>124</v>
      </c>
      <c r="D222" s="167">
        <v>30</v>
      </c>
      <c r="E222" s="161">
        <v>0.25</v>
      </c>
      <c r="F222" s="138">
        <f>$F$1</f>
        <v>3.8</v>
      </c>
      <c r="G222" s="138">
        <f>ROUND(E222*F222,2)</f>
        <v>0.95</v>
      </c>
      <c r="H222" s="138"/>
      <c r="I222" s="138">
        <f>ROUND(G222*$I$1,2)+0.6</f>
        <v>0.67999999999999994</v>
      </c>
      <c r="J222" s="139">
        <f t="shared" si="95"/>
        <v>1.63</v>
      </c>
      <c r="K222" s="140">
        <f t="shared" si="96"/>
        <v>7.5</v>
      </c>
      <c r="L222" s="140">
        <f t="shared" si="97"/>
        <v>28.5</v>
      </c>
      <c r="M222" s="140">
        <f t="shared" si="98"/>
        <v>0</v>
      </c>
      <c r="N222" s="140">
        <f t="shared" si="99"/>
        <v>20.399999999999999</v>
      </c>
      <c r="O222" s="140">
        <f t="shared" si="100"/>
        <v>48.9</v>
      </c>
    </row>
    <row r="223" spans="1:15">
      <c r="A223" s="61" t="s">
        <v>496</v>
      </c>
      <c r="B223" s="83" t="s">
        <v>313</v>
      </c>
      <c r="C223" s="16" t="s">
        <v>41</v>
      </c>
      <c r="D223" s="77">
        <f>D222*0.03</f>
        <v>0.89999999999999991</v>
      </c>
      <c r="E223" s="160"/>
      <c r="F223" s="160"/>
      <c r="G223" s="160"/>
      <c r="H223" s="160">
        <v>3.94</v>
      </c>
      <c r="I223" s="153">
        <f>ROUND(G223*$I$1,2)</f>
        <v>0</v>
      </c>
      <c r="J223" s="153">
        <f t="shared" si="95"/>
        <v>3.94</v>
      </c>
      <c r="K223" s="154">
        <f t="shared" si="96"/>
        <v>0</v>
      </c>
      <c r="L223" s="154">
        <f t="shared" si="97"/>
        <v>0</v>
      </c>
      <c r="M223" s="154">
        <f t="shared" si="98"/>
        <v>3.55</v>
      </c>
      <c r="N223" s="154">
        <f t="shared" si="99"/>
        <v>0</v>
      </c>
      <c r="O223" s="154">
        <f t="shared" si="100"/>
        <v>3.55</v>
      </c>
    </row>
    <row r="224" spans="1:15" ht="15" thickBot="1">
      <c r="A224" s="61" t="s">
        <v>497</v>
      </c>
      <c r="B224" s="83" t="s">
        <v>316</v>
      </c>
      <c r="C224" s="16" t="s">
        <v>12</v>
      </c>
      <c r="D224" s="77">
        <f>ROUND(D222*0.15*0.2,0)</f>
        <v>1</v>
      </c>
      <c r="E224" s="160"/>
      <c r="F224" s="160"/>
      <c r="G224" s="160"/>
      <c r="H224" s="160">
        <v>6.2</v>
      </c>
      <c r="I224" s="153">
        <f>ROUND(G224*$I$1,2)</f>
        <v>0</v>
      </c>
      <c r="J224" s="153">
        <f t="shared" si="95"/>
        <v>6.2</v>
      </c>
      <c r="K224" s="154">
        <f t="shared" si="96"/>
        <v>0</v>
      </c>
      <c r="L224" s="154">
        <f t="shared" si="97"/>
        <v>0</v>
      </c>
      <c r="M224" s="154">
        <f t="shared" si="98"/>
        <v>6.2</v>
      </c>
      <c r="N224" s="154">
        <f t="shared" si="99"/>
        <v>0</v>
      </c>
      <c r="O224" s="154">
        <f t="shared" si="100"/>
        <v>6.2</v>
      </c>
    </row>
    <row r="225" spans="1:15" ht="15.75" thickBot="1">
      <c r="A225" s="312" t="s">
        <v>318</v>
      </c>
      <c r="B225" s="313"/>
      <c r="C225" s="313"/>
      <c r="D225" s="313"/>
      <c r="E225" s="313"/>
      <c r="F225" s="313"/>
      <c r="G225" s="313"/>
      <c r="H225" s="313"/>
      <c r="I225" s="313"/>
      <c r="J225" s="314"/>
    </row>
    <row r="226" spans="1:15" s="15" customFormat="1" ht="25.5">
      <c r="A226" s="61" t="s">
        <v>498</v>
      </c>
      <c r="B226" s="78" t="s">
        <v>319</v>
      </c>
      <c r="C226" s="174" t="s">
        <v>243</v>
      </c>
      <c r="D226" s="138">
        <v>1</v>
      </c>
      <c r="E226" s="174">
        <v>8</v>
      </c>
      <c r="F226" s="138">
        <f>$F$1</f>
        <v>3.8</v>
      </c>
      <c r="G226" s="138">
        <f>ROUND(E226*F226,2)</f>
        <v>30.4</v>
      </c>
      <c r="H226" s="138"/>
      <c r="I226" s="138">
        <f>ROUND(G226*$I$1,2)</f>
        <v>2.4300000000000002</v>
      </c>
      <c r="J226" s="139">
        <f>SUM(G226:I226)</f>
        <v>32.83</v>
      </c>
      <c r="K226" s="140">
        <f>ROUND(D226*E226,2)</f>
        <v>8</v>
      </c>
      <c r="L226" s="140">
        <f>ROUND(D226*G226,2)</f>
        <v>30.4</v>
      </c>
      <c r="M226" s="140">
        <f>ROUND(D226*H226,2)</f>
        <v>0</v>
      </c>
      <c r="N226" s="140">
        <f>ROUND(I226*D226,2)</f>
        <v>2.4300000000000002</v>
      </c>
      <c r="O226" s="140">
        <f>SUM(L226:N226)</f>
        <v>32.83</v>
      </c>
    </row>
    <row r="227" spans="1:15" s="134" customFormat="1" ht="25.5">
      <c r="A227" s="61" t="s">
        <v>499</v>
      </c>
      <c r="B227" s="168" t="s">
        <v>147</v>
      </c>
      <c r="C227" s="50" t="s">
        <v>148</v>
      </c>
      <c r="D227" s="169">
        <v>1</v>
      </c>
      <c r="E227" s="160"/>
      <c r="F227" s="160"/>
      <c r="G227" s="160"/>
      <c r="H227" s="160">
        <v>45</v>
      </c>
      <c r="I227" s="154">
        <f>ROUND(G227*$I$1,2)</f>
        <v>0</v>
      </c>
      <c r="J227" s="154">
        <f>SUM(G227:I227)</f>
        <v>45</v>
      </c>
      <c r="K227" s="154">
        <f>ROUND(D227*E227,2)</f>
        <v>0</v>
      </c>
      <c r="L227" s="154">
        <f>ROUND(D227*G227,2)</f>
        <v>0</v>
      </c>
      <c r="M227" s="154">
        <f>ROUND(D227*H227,2)</f>
        <v>45</v>
      </c>
      <c r="N227" s="154">
        <f>ROUND(I227*D227,2)</f>
        <v>0</v>
      </c>
      <c r="O227" s="154">
        <f>SUM(L227:N227)</f>
        <v>45</v>
      </c>
    </row>
    <row r="228" spans="1:15" s="15" customFormat="1" ht="25.5">
      <c r="A228" s="61" t="s">
        <v>500</v>
      </c>
      <c r="B228" s="22" t="s">
        <v>320</v>
      </c>
      <c r="C228" s="161" t="s">
        <v>243</v>
      </c>
      <c r="D228" s="42">
        <f>SUM(D229:D236)</f>
        <v>15</v>
      </c>
      <c r="E228" s="161">
        <v>0.9</v>
      </c>
      <c r="F228" s="42">
        <f>$F$1</f>
        <v>3.8</v>
      </c>
      <c r="G228" s="42">
        <f>ROUND(E228*F228,2)</f>
        <v>3.42</v>
      </c>
      <c r="H228" s="42"/>
      <c r="I228" s="42">
        <f>ROUND(G228*$I$1,2)</f>
        <v>0.27</v>
      </c>
      <c r="J228" s="140">
        <f t="shared" ref="J228:J236" si="101">SUM(G228:I228)</f>
        <v>3.69</v>
      </c>
      <c r="K228" s="140">
        <f t="shared" ref="K228:K236" si="102">ROUND(D228*E228,2)</f>
        <v>13.5</v>
      </c>
      <c r="L228" s="140">
        <f t="shared" ref="L228:L236" si="103">ROUND(D228*G228,2)</f>
        <v>51.3</v>
      </c>
      <c r="M228" s="140">
        <f t="shared" ref="M228:M236" si="104">ROUND(D228*H228,2)</f>
        <v>0</v>
      </c>
      <c r="N228" s="140">
        <f t="shared" ref="N228:N236" si="105">ROUND(I228*D228,2)</f>
        <v>4.05</v>
      </c>
      <c r="O228" s="140">
        <f t="shared" ref="O228:O236" si="106">SUM(L228:N228)</f>
        <v>55.349999999999994</v>
      </c>
    </row>
    <row r="229" spans="1:15" s="134" customFormat="1">
      <c r="A229" s="61" t="s">
        <v>501</v>
      </c>
      <c r="B229" s="168" t="s">
        <v>149</v>
      </c>
      <c r="C229" s="50" t="s">
        <v>148</v>
      </c>
      <c r="D229" s="169">
        <v>1</v>
      </c>
      <c r="E229" s="160"/>
      <c r="F229" s="160"/>
      <c r="G229" s="160"/>
      <c r="H229" s="160">
        <v>18</v>
      </c>
      <c r="I229" s="154">
        <f t="shared" ref="I229:I236" si="107">ROUND(G229*$I$1,2)</f>
        <v>0</v>
      </c>
      <c r="J229" s="154">
        <f t="shared" si="101"/>
        <v>18</v>
      </c>
      <c r="K229" s="154">
        <f t="shared" si="102"/>
        <v>0</v>
      </c>
      <c r="L229" s="154">
        <f t="shared" si="103"/>
        <v>0</v>
      </c>
      <c r="M229" s="154">
        <f t="shared" si="104"/>
        <v>18</v>
      </c>
      <c r="N229" s="154">
        <f t="shared" si="105"/>
        <v>0</v>
      </c>
      <c r="O229" s="154">
        <f t="shared" si="106"/>
        <v>18</v>
      </c>
    </row>
    <row r="230" spans="1:15" s="134" customFormat="1">
      <c r="A230" s="61" t="s">
        <v>502</v>
      </c>
      <c r="B230" s="168" t="s">
        <v>150</v>
      </c>
      <c r="C230" s="50" t="s">
        <v>148</v>
      </c>
      <c r="D230" s="169">
        <v>3</v>
      </c>
      <c r="E230" s="160"/>
      <c r="F230" s="160"/>
      <c r="G230" s="160"/>
      <c r="H230" s="160">
        <v>2.8</v>
      </c>
      <c r="I230" s="154">
        <f t="shared" si="107"/>
        <v>0</v>
      </c>
      <c r="J230" s="154">
        <f t="shared" si="101"/>
        <v>2.8</v>
      </c>
      <c r="K230" s="154">
        <f t="shared" si="102"/>
        <v>0</v>
      </c>
      <c r="L230" s="154">
        <f t="shared" si="103"/>
        <v>0</v>
      </c>
      <c r="M230" s="154">
        <f t="shared" si="104"/>
        <v>8.4</v>
      </c>
      <c r="N230" s="154">
        <f t="shared" si="105"/>
        <v>0</v>
      </c>
      <c r="O230" s="154">
        <f t="shared" si="106"/>
        <v>8.4</v>
      </c>
    </row>
    <row r="231" spans="1:15" s="134" customFormat="1">
      <c r="A231" s="61" t="s">
        <v>503</v>
      </c>
      <c r="B231" s="170" t="s">
        <v>151</v>
      </c>
      <c r="C231" s="50" t="s">
        <v>148</v>
      </c>
      <c r="D231" s="169">
        <v>1</v>
      </c>
      <c r="E231" s="160"/>
      <c r="F231" s="160"/>
      <c r="G231" s="160"/>
      <c r="H231" s="160">
        <v>5.5</v>
      </c>
      <c r="I231" s="154">
        <f t="shared" si="107"/>
        <v>0</v>
      </c>
      <c r="J231" s="154">
        <f t="shared" si="101"/>
        <v>5.5</v>
      </c>
      <c r="K231" s="154">
        <f t="shared" si="102"/>
        <v>0</v>
      </c>
      <c r="L231" s="154">
        <f t="shared" si="103"/>
        <v>0</v>
      </c>
      <c r="M231" s="154">
        <f t="shared" si="104"/>
        <v>5.5</v>
      </c>
      <c r="N231" s="154">
        <f t="shared" si="105"/>
        <v>0</v>
      </c>
      <c r="O231" s="154">
        <f t="shared" si="106"/>
        <v>5.5</v>
      </c>
    </row>
    <row r="232" spans="1:15" s="134" customFormat="1">
      <c r="A232" s="61" t="s">
        <v>504</v>
      </c>
      <c r="B232" s="170" t="s">
        <v>152</v>
      </c>
      <c r="C232" s="50" t="s">
        <v>148</v>
      </c>
      <c r="D232" s="169">
        <v>1</v>
      </c>
      <c r="E232" s="160"/>
      <c r="F232" s="160"/>
      <c r="G232" s="160"/>
      <c r="H232" s="160">
        <v>6.2</v>
      </c>
      <c r="I232" s="154">
        <f t="shared" si="107"/>
        <v>0</v>
      </c>
      <c r="J232" s="154">
        <f t="shared" si="101"/>
        <v>6.2</v>
      </c>
      <c r="K232" s="154">
        <f t="shared" si="102"/>
        <v>0</v>
      </c>
      <c r="L232" s="154">
        <f t="shared" si="103"/>
        <v>0</v>
      </c>
      <c r="M232" s="154">
        <f t="shared" si="104"/>
        <v>6.2</v>
      </c>
      <c r="N232" s="154">
        <f t="shared" si="105"/>
        <v>0</v>
      </c>
      <c r="O232" s="154">
        <f t="shared" si="106"/>
        <v>6.2</v>
      </c>
    </row>
    <row r="233" spans="1:15" s="134" customFormat="1">
      <c r="A233" s="61" t="s">
        <v>505</v>
      </c>
      <c r="B233" s="170" t="s">
        <v>153</v>
      </c>
      <c r="C233" s="50" t="s">
        <v>148</v>
      </c>
      <c r="D233" s="169">
        <v>1</v>
      </c>
      <c r="E233" s="160"/>
      <c r="F233" s="160"/>
      <c r="G233" s="160"/>
      <c r="H233" s="160">
        <v>16</v>
      </c>
      <c r="I233" s="154">
        <f t="shared" si="107"/>
        <v>0</v>
      </c>
      <c r="J233" s="154">
        <f t="shared" si="101"/>
        <v>16</v>
      </c>
      <c r="K233" s="154">
        <f t="shared" si="102"/>
        <v>0</v>
      </c>
      <c r="L233" s="154">
        <f t="shared" si="103"/>
        <v>0</v>
      </c>
      <c r="M233" s="154">
        <f t="shared" si="104"/>
        <v>16</v>
      </c>
      <c r="N233" s="154">
        <f t="shared" si="105"/>
        <v>0</v>
      </c>
      <c r="O233" s="154">
        <f t="shared" si="106"/>
        <v>16</v>
      </c>
    </row>
    <row r="234" spans="1:15" s="134" customFormat="1">
      <c r="A234" s="61" t="s">
        <v>506</v>
      </c>
      <c r="B234" s="168" t="s">
        <v>154</v>
      </c>
      <c r="C234" s="50" t="s">
        <v>148</v>
      </c>
      <c r="D234" s="169">
        <v>3</v>
      </c>
      <c r="E234" s="160"/>
      <c r="F234" s="160"/>
      <c r="G234" s="160"/>
      <c r="H234" s="160">
        <v>19.2</v>
      </c>
      <c r="I234" s="154">
        <f t="shared" si="107"/>
        <v>0</v>
      </c>
      <c r="J234" s="154">
        <f t="shared" si="101"/>
        <v>19.2</v>
      </c>
      <c r="K234" s="154">
        <f t="shared" si="102"/>
        <v>0</v>
      </c>
      <c r="L234" s="154">
        <f t="shared" si="103"/>
        <v>0</v>
      </c>
      <c r="M234" s="154">
        <f t="shared" si="104"/>
        <v>57.6</v>
      </c>
      <c r="N234" s="154">
        <f t="shared" si="105"/>
        <v>0</v>
      </c>
      <c r="O234" s="154">
        <f t="shared" si="106"/>
        <v>57.6</v>
      </c>
    </row>
    <row r="235" spans="1:15" s="134" customFormat="1">
      <c r="A235" s="61" t="s">
        <v>507</v>
      </c>
      <c r="B235" s="168" t="s">
        <v>155</v>
      </c>
      <c r="C235" s="50" t="s">
        <v>148</v>
      </c>
      <c r="D235" s="169">
        <v>1</v>
      </c>
      <c r="E235" s="160"/>
      <c r="F235" s="160"/>
      <c r="G235" s="160"/>
      <c r="H235" s="160">
        <v>4.7</v>
      </c>
      <c r="I235" s="154">
        <f t="shared" si="107"/>
        <v>0</v>
      </c>
      <c r="J235" s="154">
        <f t="shared" si="101"/>
        <v>4.7</v>
      </c>
      <c r="K235" s="154">
        <f t="shared" si="102"/>
        <v>0</v>
      </c>
      <c r="L235" s="154">
        <f t="shared" si="103"/>
        <v>0</v>
      </c>
      <c r="M235" s="154">
        <f t="shared" si="104"/>
        <v>4.7</v>
      </c>
      <c r="N235" s="154">
        <f t="shared" si="105"/>
        <v>0</v>
      </c>
      <c r="O235" s="154">
        <f t="shared" si="106"/>
        <v>4.7</v>
      </c>
    </row>
    <row r="236" spans="1:15" s="134" customFormat="1">
      <c r="A236" s="61" t="s">
        <v>508</v>
      </c>
      <c r="B236" s="168" t="s">
        <v>156</v>
      </c>
      <c r="C236" s="50" t="s">
        <v>148</v>
      </c>
      <c r="D236" s="169">
        <v>4</v>
      </c>
      <c r="E236" s="160"/>
      <c r="F236" s="160"/>
      <c r="G236" s="160"/>
      <c r="H236" s="160">
        <v>1.1000000000000001</v>
      </c>
      <c r="I236" s="154">
        <f t="shared" si="107"/>
        <v>0</v>
      </c>
      <c r="J236" s="154">
        <f t="shared" si="101"/>
        <v>1.1000000000000001</v>
      </c>
      <c r="K236" s="154">
        <f t="shared" si="102"/>
        <v>0</v>
      </c>
      <c r="L236" s="154">
        <f t="shared" si="103"/>
        <v>0</v>
      </c>
      <c r="M236" s="154">
        <f t="shared" si="104"/>
        <v>4.4000000000000004</v>
      </c>
      <c r="N236" s="154">
        <f t="shared" si="105"/>
        <v>0</v>
      </c>
      <c r="O236" s="154">
        <f t="shared" si="106"/>
        <v>4.4000000000000004</v>
      </c>
    </row>
    <row r="237" spans="1:15" s="15" customFormat="1" ht="38.25">
      <c r="A237" s="61" t="s">
        <v>509</v>
      </c>
      <c r="B237" s="22" t="s">
        <v>321</v>
      </c>
      <c r="C237" s="161" t="s">
        <v>42</v>
      </c>
      <c r="D237" s="42">
        <f>SUM(D238:D242)</f>
        <v>22</v>
      </c>
      <c r="E237" s="161">
        <v>1.3</v>
      </c>
      <c r="F237" s="42">
        <f>$F$1</f>
        <v>3.8</v>
      </c>
      <c r="G237" s="42">
        <f>ROUND(E237*F237,2)</f>
        <v>4.9400000000000004</v>
      </c>
      <c r="H237" s="42"/>
      <c r="I237" s="42">
        <f>ROUND(G237*$I$1,2)</f>
        <v>0.4</v>
      </c>
      <c r="J237" s="140">
        <f t="shared" ref="J237:J243" si="108">SUM(G237:I237)</f>
        <v>5.3400000000000007</v>
      </c>
      <c r="K237" s="140">
        <f t="shared" ref="K237:K243" si="109">ROUND(D237*E237,2)</f>
        <v>28.6</v>
      </c>
      <c r="L237" s="140">
        <f t="shared" ref="L237:L243" si="110">ROUND(D237*G237,2)</f>
        <v>108.68</v>
      </c>
      <c r="M237" s="140">
        <f t="shared" ref="M237:M243" si="111">ROUND(D237*H237,2)</f>
        <v>0</v>
      </c>
      <c r="N237" s="140">
        <f t="shared" ref="N237:N243" si="112">ROUND(I237*D237,2)</f>
        <v>8.8000000000000007</v>
      </c>
      <c r="O237" s="140">
        <f t="shared" ref="O237:O243" si="113">SUM(L237:N237)</f>
        <v>117.48</v>
      </c>
    </row>
    <row r="238" spans="1:15" s="134" customFormat="1" ht="25.5">
      <c r="A238" s="61" t="s">
        <v>510</v>
      </c>
      <c r="B238" s="168" t="s">
        <v>157</v>
      </c>
      <c r="C238" s="50" t="s">
        <v>148</v>
      </c>
      <c r="D238" s="169">
        <v>4</v>
      </c>
      <c r="E238" s="160"/>
      <c r="F238" s="160"/>
      <c r="G238" s="160"/>
      <c r="H238" s="160">
        <v>5.2</v>
      </c>
      <c r="I238" s="154">
        <f t="shared" ref="I238:I243" si="114">ROUND(G238*$I$1,2)</f>
        <v>0</v>
      </c>
      <c r="J238" s="154">
        <f t="shared" si="108"/>
        <v>5.2</v>
      </c>
      <c r="K238" s="154">
        <f t="shared" si="109"/>
        <v>0</v>
      </c>
      <c r="L238" s="154">
        <f t="shared" si="110"/>
        <v>0</v>
      </c>
      <c r="M238" s="154">
        <f t="shared" si="111"/>
        <v>20.8</v>
      </c>
      <c r="N238" s="154">
        <f t="shared" si="112"/>
        <v>0</v>
      </c>
      <c r="O238" s="154">
        <f t="shared" si="113"/>
        <v>20.8</v>
      </c>
    </row>
    <row r="239" spans="1:15" s="134" customFormat="1">
      <c r="A239" s="61" t="s">
        <v>511</v>
      </c>
      <c r="B239" s="168" t="s">
        <v>182</v>
      </c>
      <c r="C239" s="50" t="s">
        <v>148</v>
      </c>
      <c r="D239" s="169">
        <v>1</v>
      </c>
      <c r="E239" s="160"/>
      <c r="F239" s="160"/>
      <c r="G239" s="160"/>
      <c r="H239" s="160">
        <v>33.200000000000003</v>
      </c>
      <c r="I239" s="154">
        <f t="shared" si="114"/>
        <v>0</v>
      </c>
      <c r="J239" s="154">
        <f t="shared" si="108"/>
        <v>33.200000000000003</v>
      </c>
      <c r="K239" s="154">
        <f t="shared" si="109"/>
        <v>0</v>
      </c>
      <c r="L239" s="154">
        <f t="shared" si="110"/>
        <v>0</v>
      </c>
      <c r="M239" s="154">
        <f t="shared" si="111"/>
        <v>33.200000000000003</v>
      </c>
      <c r="N239" s="154">
        <f t="shared" si="112"/>
        <v>0</v>
      </c>
      <c r="O239" s="154">
        <f t="shared" si="113"/>
        <v>33.200000000000003</v>
      </c>
    </row>
    <row r="240" spans="1:15" s="134" customFormat="1" ht="25.5">
      <c r="A240" s="61" t="s">
        <v>512</v>
      </c>
      <c r="B240" s="168" t="s">
        <v>172</v>
      </c>
      <c r="C240" s="50" t="s">
        <v>148</v>
      </c>
      <c r="D240" s="169">
        <v>2</v>
      </c>
      <c r="E240" s="160"/>
      <c r="F240" s="160"/>
      <c r="G240" s="160"/>
      <c r="H240" s="160">
        <v>3.45</v>
      </c>
      <c r="I240" s="154">
        <f t="shared" si="114"/>
        <v>0</v>
      </c>
      <c r="J240" s="154">
        <f t="shared" si="108"/>
        <v>3.45</v>
      </c>
      <c r="K240" s="154">
        <f t="shared" si="109"/>
        <v>0</v>
      </c>
      <c r="L240" s="154">
        <f t="shared" si="110"/>
        <v>0</v>
      </c>
      <c r="M240" s="154">
        <f t="shared" si="111"/>
        <v>6.9</v>
      </c>
      <c r="N240" s="154">
        <f t="shared" si="112"/>
        <v>0</v>
      </c>
      <c r="O240" s="154">
        <f t="shared" si="113"/>
        <v>6.9</v>
      </c>
    </row>
    <row r="241" spans="1:15" s="134" customFormat="1">
      <c r="A241" s="61" t="s">
        <v>513</v>
      </c>
      <c r="B241" s="168" t="s">
        <v>158</v>
      </c>
      <c r="C241" s="50" t="s">
        <v>148</v>
      </c>
      <c r="D241" s="169">
        <v>5</v>
      </c>
      <c r="E241" s="160"/>
      <c r="F241" s="160"/>
      <c r="G241" s="160"/>
      <c r="H241" s="160">
        <v>0.25</v>
      </c>
      <c r="I241" s="154">
        <f t="shared" si="114"/>
        <v>0</v>
      </c>
      <c r="J241" s="154">
        <f t="shared" si="108"/>
        <v>0.25</v>
      </c>
      <c r="K241" s="154">
        <f t="shared" si="109"/>
        <v>0</v>
      </c>
      <c r="L241" s="154">
        <f t="shared" si="110"/>
        <v>0</v>
      </c>
      <c r="M241" s="154">
        <f t="shared" si="111"/>
        <v>1.25</v>
      </c>
      <c r="N241" s="154">
        <f t="shared" si="112"/>
        <v>0</v>
      </c>
      <c r="O241" s="154">
        <f t="shared" si="113"/>
        <v>1.25</v>
      </c>
    </row>
    <row r="242" spans="1:15" s="134" customFormat="1" ht="25.5">
      <c r="A242" s="61" t="s">
        <v>514</v>
      </c>
      <c r="B242" s="168" t="s">
        <v>159</v>
      </c>
      <c r="C242" s="50" t="s">
        <v>148</v>
      </c>
      <c r="D242" s="169">
        <v>10</v>
      </c>
      <c r="E242" s="160"/>
      <c r="F242" s="160"/>
      <c r="G242" s="160"/>
      <c r="H242" s="160">
        <v>12.6</v>
      </c>
      <c r="I242" s="154">
        <f t="shared" si="114"/>
        <v>0</v>
      </c>
      <c r="J242" s="154">
        <f t="shared" si="108"/>
        <v>12.6</v>
      </c>
      <c r="K242" s="154">
        <f t="shared" si="109"/>
        <v>0</v>
      </c>
      <c r="L242" s="154">
        <f t="shared" si="110"/>
        <v>0</v>
      </c>
      <c r="M242" s="154">
        <f t="shared" si="111"/>
        <v>126</v>
      </c>
      <c r="N242" s="154">
        <f t="shared" si="112"/>
        <v>0</v>
      </c>
      <c r="O242" s="154">
        <f t="shared" si="113"/>
        <v>126</v>
      </c>
    </row>
    <row r="243" spans="1:15" s="134" customFormat="1">
      <c r="A243" s="61" t="s">
        <v>515</v>
      </c>
      <c r="B243" s="168" t="s">
        <v>160</v>
      </c>
      <c r="C243" s="50" t="s">
        <v>148</v>
      </c>
      <c r="D243" s="169">
        <v>50</v>
      </c>
      <c r="E243" s="160"/>
      <c r="F243" s="160"/>
      <c r="G243" s="160"/>
      <c r="H243" s="160">
        <v>0.22</v>
      </c>
      <c r="I243" s="154">
        <f t="shared" si="114"/>
        <v>0</v>
      </c>
      <c r="J243" s="154">
        <f t="shared" si="108"/>
        <v>0.22</v>
      </c>
      <c r="K243" s="154">
        <f t="shared" si="109"/>
        <v>0</v>
      </c>
      <c r="L243" s="154">
        <f t="shared" si="110"/>
        <v>0</v>
      </c>
      <c r="M243" s="154">
        <f t="shared" si="111"/>
        <v>11</v>
      </c>
      <c r="N243" s="154">
        <f t="shared" si="112"/>
        <v>0</v>
      </c>
      <c r="O243" s="154">
        <f t="shared" si="113"/>
        <v>11</v>
      </c>
    </row>
    <row r="244" spans="1:15" s="15" customFormat="1" ht="38.25">
      <c r="A244" s="61" t="s">
        <v>516</v>
      </c>
      <c r="B244" s="22" t="s">
        <v>322</v>
      </c>
      <c r="C244" s="161" t="s">
        <v>36</v>
      </c>
      <c r="D244" s="171">
        <f>SUM(D245:D249)</f>
        <v>250</v>
      </c>
      <c r="E244" s="161">
        <v>0.25</v>
      </c>
      <c r="F244" s="42">
        <f>$F$1</f>
        <v>3.8</v>
      </c>
      <c r="G244" s="42">
        <f>ROUND(E244*F244,2)</f>
        <v>0.95</v>
      </c>
      <c r="H244" s="42"/>
      <c r="I244" s="42">
        <f>ROUND(G244*$I$1,2)+0.2</f>
        <v>0.28000000000000003</v>
      </c>
      <c r="J244" s="140">
        <f t="shared" ref="J244:J249" si="115">SUM(G244:I244)</f>
        <v>1.23</v>
      </c>
      <c r="K244" s="140">
        <f t="shared" ref="K244:K249" si="116">ROUND(D244*E244,2)</f>
        <v>62.5</v>
      </c>
      <c r="L244" s="140">
        <f t="shared" ref="L244:L249" si="117">ROUND(D244*G244,2)</f>
        <v>237.5</v>
      </c>
      <c r="M244" s="140">
        <f t="shared" ref="M244:M249" si="118">ROUND(D244*H244,2)</f>
        <v>0</v>
      </c>
      <c r="N244" s="140">
        <f t="shared" ref="N244:N249" si="119">ROUND(I244*D244,2)</f>
        <v>70</v>
      </c>
      <c r="O244" s="140">
        <f t="shared" ref="O244:O249" si="120">SUM(L244:N244)</f>
        <v>307.5</v>
      </c>
    </row>
    <row r="245" spans="1:15" s="134" customFormat="1">
      <c r="A245" s="61" t="s">
        <v>517</v>
      </c>
      <c r="B245" s="168" t="s">
        <v>161</v>
      </c>
      <c r="C245" s="50" t="s">
        <v>36</v>
      </c>
      <c r="D245" s="172">
        <v>10</v>
      </c>
      <c r="E245" s="160"/>
      <c r="F245" s="160"/>
      <c r="G245" s="160"/>
      <c r="H245" s="160">
        <v>1.18</v>
      </c>
      <c r="I245" s="154">
        <f>ROUND(G245*$I$1,2)</f>
        <v>0</v>
      </c>
      <c r="J245" s="154">
        <f t="shared" si="115"/>
        <v>1.18</v>
      </c>
      <c r="K245" s="154">
        <f t="shared" si="116"/>
        <v>0</v>
      </c>
      <c r="L245" s="154">
        <f t="shared" si="117"/>
        <v>0</v>
      </c>
      <c r="M245" s="154">
        <f t="shared" si="118"/>
        <v>11.8</v>
      </c>
      <c r="N245" s="154">
        <f t="shared" si="119"/>
        <v>0</v>
      </c>
      <c r="O245" s="154">
        <f t="shared" si="120"/>
        <v>11.8</v>
      </c>
    </row>
    <row r="246" spans="1:15" s="134" customFormat="1">
      <c r="A246" s="61" t="s">
        <v>518</v>
      </c>
      <c r="B246" s="170" t="s">
        <v>162</v>
      </c>
      <c r="C246" s="50" t="s">
        <v>36</v>
      </c>
      <c r="D246" s="172">
        <v>50</v>
      </c>
      <c r="E246" s="160"/>
      <c r="F246" s="160"/>
      <c r="G246" s="160"/>
      <c r="H246" s="160">
        <v>0.72</v>
      </c>
      <c r="I246" s="154">
        <f>ROUND(G246*$I$1,2)</f>
        <v>0</v>
      </c>
      <c r="J246" s="154">
        <f t="shared" si="115"/>
        <v>0.72</v>
      </c>
      <c r="K246" s="154">
        <f t="shared" si="116"/>
        <v>0</v>
      </c>
      <c r="L246" s="154">
        <f t="shared" si="117"/>
        <v>0</v>
      </c>
      <c r="M246" s="154">
        <f t="shared" si="118"/>
        <v>36</v>
      </c>
      <c r="N246" s="154">
        <f t="shared" si="119"/>
        <v>0</v>
      </c>
      <c r="O246" s="154">
        <f t="shared" si="120"/>
        <v>36</v>
      </c>
    </row>
    <row r="247" spans="1:15" s="134" customFormat="1">
      <c r="A247" s="61" t="s">
        <v>519</v>
      </c>
      <c r="B247" s="170" t="s">
        <v>163</v>
      </c>
      <c r="C247" s="50" t="s">
        <v>36</v>
      </c>
      <c r="D247" s="172">
        <v>150</v>
      </c>
      <c r="E247" s="160"/>
      <c r="F247" s="160"/>
      <c r="G247" s="160"/>
      <c r="H247" s="160">
        <v>0.44</v>
      </c>
      <c r="I247" s="154">
        <f>ROUND(G247*$I$1,2)</f>
        <v>0</v>
      </c>
      <c r="J247" s="154">
        <f t="shared" si="115"/>
        <v>0.44</v>
      </c>
      <c r="K247" s="154">
        <f t="shared" si="116"/>
        <v>0</v>
      </c>
      <c r="L247" s="154">
        <f t="shared" si="117"/>
        <v>0</v>
      </c>
      <c r="M247" s="154">
        <f t="shared" si="118"/>
        <v>66</v>
      </c>
      <c r="N247" s="154">
        <f t="shared" si="119"/>
        <v>0</v>
      </c>
      <c r="O247" s="154">
        <f t="shared" si="120"/>
        <v>66</v>
      </c>
    </row>
    <row r="248" spans="1:15" s="134" customFormat="1">
      <c r="A248" s="61" t="s">
        <v>520</v>
      </c>
      <c r="B248" s="170" t="s">
        <v>165</v>
      </c>
      <c r="C248" s="50" t="s">
        <v>36</v>
      </c>
      <c r="D248" s="172">
        <v>10</v>
      </c>
      <c r="E248" s="160"/>
      <c r="F248" s="160"/>
      <c r="G248" s="160"/>
      <c r="H248" s="160">
        <v>2.25</v>
      </c>
      <c r="I248" s="154">
        <f>ROUND(G248*$I$1,2)</f>
        <v>0</v>
      </c>
      <c r="J248" s="154">
        <f t="shared" si="115"/>
        <v>2.25</v>
      </c>
      <c r="K248" s="154">
        <f t="shared" si="116"/>
        <v>0</v>
      </c>
      <c r="L248" s="154">
        <f t="shared" si="117"/>
        <v>0</v>
      </c>
      <c r="M248" s="154">
        <f t="shared" si="118"/>
        <v>22.5</v>
      </c>
      <c r="N248" s="154">
        <f t="shared" si="119"/>
        <v>0</v>
      </c>
      <c r="O248" s="154">
        <f t="shared" si="120"/>
        <v>22.5</v>
      </c>
    </row>
    <row r="249" spans="1:15" s="134" customFormat="1">
      <c r="A249" s="61" t="s">
        <v>521</v>
      </c>
      <c r="B249" s="170" t="s">
        <v>166</v>
      </c>
      <c r="C249" s="50" t="s">
        <v>36</v>
      </c>
      <c r="D249" s="172">
        <v>30</v>
      </c>
      <c r="E249" s="160"/>
      <c r="F249" s="160"/>
      <c r="G249" s="160"/>
      <c r="H249" s="160">
        <v>1.1499999999999999</v>
      </c>
      <c r="I249" s="154">
        <f>ROUND(G249*$I$1,2)</f>
        <v>0</v>
      </c>
      <c r="J249" s="154">
        <f t="shared" si="115"/>
        <v>1.1499999999999999</v>
      </c>
      <c r="K249" s="154">
        <f t="shared" si="116"/>
        <v>0</v>
      </c>
      <c r="L249" s="154">
        <f t="shared" si="117"/>
        <v>0</v>
      </c>
      <c r="M249" s="154">
        <f t="shared" si="118"/>
        <v>34.5</v>
      </c>
      <c r="N249" s="154">
        <f t="shared" si="119"/>
        <v>0</v>
      </c>
      <c r="O249" s="154">
        <f t="shared" si="120"/>
        <v>34.5</v>
      </c>
    </row>
    <row r="250" spans="1:15" s="15" customFormat="1" ht="51">
      <c r="A250" s="61" t="s">
        <v>522</v>
      </c>
      <c r="B250" s="22" t="s">
        <v>323</v>
      </c>
      <c r="C250" s="161" t="s">
        <v>36</v>
      </c>
      <c r="D250" s="171">
        <v>5</v>
      </c>
      <c r="E250" s="161">
        <v>0.32</v>
      </c>
      <c r="F250" s="42">
        <f>$F$1</f>
        <v>3.8</v>
      </c>
      <c r="G250" s="42">
        <f>ROUND(E250*F250,2)</f>
        <v>1.22</v>
      </c>
      <c r="H250" s="42"/>
      <c r="I250" s="42">
        <f>ROUND(G250*$I$1,2)+0.3</f>
        <v>0.4</v>
      </c>
      <c r="J250" s="140">
        <f t="shared" ref="J250:J258" si="121">SUM(G250:I250)</f>
        <v>1.62</v>
      </c>
      <c r="K250" s="140">
        <f t="shared" ref="K250:K258" si="122">ROUND(D250*E250,2)</f>
        <v>1.6</v>
      </c>
      <c r="L250" s="140">
        <f t="shared" ref="L250:L258" si="123">ROUND(D250*G250,2)</f>
        <v>6.1</v>
      </c>
      <c r="M250" s="140">
        <f t="shared" ref="M250:M258" si="124">ROUND(D250*H250,2)</f>
        <v>0</v>
      </c>
      <c r="N250" s="140">
        <f t="shared" ref="N250:N258" si="125">ROUND(I250*D250,2)</f>
        <v>2</v>
      </c>
      <c r="O250" s="140">
        <f t="shared" ref="O250:O258" si="126">SUM(L250:N250)</f>
        <v>8.1</v>
      </c>
    </row>
    <row r="251" spans="1:15" s="134" customFormat="1">
      <c r="A251" s="61" t="s">
        <v>523</v>
      </c>
      <c r="B251" s="170" t="s">
        <v>164</v>
      </c>
      <c r="C251" s="50" t="s">
        <v>36</v>
      </c>
      <c r="D251" s="172">
        <v>5</v>
      </c>
      <c r="E251" s="160"/>
      <c r="F251" s="160"/>
      <c r="G251" s="160"/>
      <c r="H251" s="160">
        <v>4.8</v>
      </c>
      <c r="I251" s="154">
        <f t="shared" ref="I251:I258" si="127">ROUND(G251*$I$1,2)</f>
        <v>0</v>
      </c>
      <c r="J251" s="154">
        <f t="shared" si="121"/>
        <v>4.8</v>
      </c>
      <c r="K251" s="154">
        <f t="shared" si="122"/>
        <v>0</v>
      </c>
      <c r="L251" s="154">
        <f t="shared" si="123"/>
        <v>0</v>
      </c>
      <c r="M251" s="154">
        <f t="shared" si="124"/>
        <v>24</v>
      </c>
      <c r="N251" s="154">
        <f t="shared" si="125"/>
        <v>0</v>
      </c>
      <c r="O251" s="154">
        <f t="shared" si="126"/>
        <v>24</v>
      </c>
    </row>
    <row r="252" spans="1:15" s="15" customFormat="1" ht="38.25">
      <c r="A252" s="61" t="s">
        <v>524</v>
      </c>
      <c r="B252" s="22" t="s">
        <v>324</v>
      </c>
      <c r="C252" s="161"/>
      <c r="D252" s="171">
        <f>SUM(D253:D254)</f>
        <v>110</v>
      </c>
      <c r="E252" s="161">
        <v>0.25</v>
      </c>
      <c r="F252" s="42">
        <f>$F$1</f>
        <v>3.8</v>
      </c>
      <c r="G252" s="42">
        <f>ROUND(E252*F252,2)</f>
        <v>0.95</v>
      </c>
      <c r="H252" s="42"/>
      <c r="I252" s="42">
        <f t="shared" si="127"/>
        <v>0.08</v>
      </c>
      <c r="J252" s="140">
        <f t="shared" si="121"/>
        <v>1.03</v>
      </c>
      <c r="K252" s="140">
        <f t="shared" si="122"/>
        <v>27.5</v>
      </c>
      <c r="L252" s="140">
        <f t="shared" si="123"/>
        <v>104.5</v>
      </c>
      <c r="M252" s="140">
        <f t="shared" si="124"/>
        <v>0</v>
      </c>
      <c r="N252" s="140">
        <f t="shared" si="125"/>
        <v>8.8000000000000007</v>
      </c>
      <c r="O252" s="140">
        <f t="shared" si="126"/>
        <v>113.3</v>
      </c>
    </row>
    <row r="253" spans="1:15" s="134" customFormat="1">
      <c r="A253" s="61" t="s">
        <v>525</v>
      </c>
      <c r="B253" s="168" t="s">
        <v>167</v>
      </c>
      <c r="C253" s="50" t="s">
        <v>36</v>
      </c>
      <c r="D253" s="172">
        <v>100</v>
      </c>
      <c r="E253" s="160"/>
      <c r="F253" s="160"/>
      <c r="G253" s="160"/>
      <c r="H253" s="160">
        <v>0.68</v>
      </c>
      <c r="I253" s="154">
        <f t="shared" si="127"/>
        <v>0</v>
      </c>
      <c r="J253" s="154">
        <f t="shared" si="121"/>
        <v>0.68</v>
      </c>
      <c r="K253" s="154">
        <f t="shared" si="122"/>
        <v>0</v>
      </c>
      <c r="L253" s="154">
        <f t="shared" si="123"/>
        <v>0</v>
      </c>
      <c r="M253" s="154">
        <f t="shared" si="124"/>
        <v>68</v>
      </c>
      <c r="N253" s="154">
        <f t="shared" si="125"/>
        <v>0</v>
      </c>
      <c r="O253" s="154">
        <f t="shared" si="126"/>
        <v>68</v>
      </c>
    </row>
    <row r="254" spans="1:15" s="134" customFormat="1">
      <c r="A254" s="61" t="s">
        <v>526</v>
      </c>
      <c r="B254" s="168" t="s">
        <v>168</v>
      </c>
      <c r="C254" s="50" t="s">
        <v>36</v>
      </c>
      <c r="D254" s="172">
        <v>10</v>
      </c>
      <c r="E254" s="160"/>
      <c r="F254" s="160"/>
      <c r="G254" s="160"/>
      <c r="H254" s="160">
        <v>0.76</v>
      </c>
      <c r="I254" s="154">
        <f t="shared" si="127"/>
        <v>0</v>
      </c>
      <c r="J254" s="154">
        <f t="shared" si="121"/>
        <v>0.76</v>
      </c>
      <c r="K254" s="154">
        <f t="shared" si="122"/>
        <v>0</v>
      </c>
      <c r="L254" s="154">
        <f t="shared" si="123"/>
        <v>0</v>
      </c>
      <c r="M254" s="154">
        <f t="shared" si="124"/>
        <v>7.6</v>
      </c>
      <c r="N254" s="154">
        <f t="shared" si="125"/>
        <v>0</v>
      </c>
      <c r="O254" s="154">
        <f t="shared" si="126"/>
        <v>7.6</v>
      </c>
    </row>
    <row r="255" spans="1:15" s="15" customFormat="1" ht="38.25">
      <c r="A255" s="61" t="s">
        <v>527</v>
      </c>
      <c r="B255" s="22" t="s">
        <v>325</v>
      </c>
      <c r="C255" s="161"/>
      <c r="D255" s="171">
        <f>SUM(D256:D258)</f>
        <v>75</v>
      </c>
      <c r="E255" s="161">
        <v>0.65</v>
      </c>
      <c r="F255" s="42">
        <f>$F$1</f>
        <v>3.8</v>
      </c>
      <c r="G255" s="42">
        <f>ROUND(E255*F255,2)</f>
        <v>2.4700000000000002</v>
      </c>
      <c r="H255" s="42"/>
      <c r="I255" s="42">
        <f t="shared" si="127"/>
        <v>0.2</v>
      </c>
      <c r="J255" s="140">
        <f t="shared" si="121"/>
        <v>2.6700000000000004</v>
      </c>
      <c r="K255" s="140">
        <f t="shared" si="122"/>
        <v>48.75</v>
      </c>
      <c r="L255" s="140">
        <f t="shared" si="123"/>
        <v>185.25</v>
      </c>
      <c r="M255" s="140">
        <f t="shared" si="124"/>
        <v>0</v>
      </c>
      <c r="N255" s="140">
        <f t="shared" si="125"/>
        <v>15</v>
      </c>
      <c r="O255" s="140">
        <f t="shared" si="126"/>
        <v>200.25</v>
      </c>
    </row>
    <row r="256" spans="1:15" s="134" customFormat="1">
      <c r="A256" s="61" t="s">
        <v>528</v>
      </c>
      <c r="B256" s="168" t="s">
        <v>169</v>
      </c>
      <c r="C256" s="50" t="s">
        <v>148</v>
      </c>
      <c r="D256" s="172">
        <v>15</v>
      </c>
      <c r="E256" s="160"/>
      <c r="F256" s="160"/>
      <c r="G256" s="160"/>
      <c r="H256" s="160">
        <v>0.56000000000000005</v>
      </c>
      <c r="I256" s="154">
        <f t="shared" si="127"/>
        <v>0</v>
      </c>
      <c r="J256" s="154">
        <f t="shared" si="121"/>
        <v>0.56000000000000005</v>
      </c>
      <c r="K256" s="154">
        <f t="shared" si="122"/>
        <v>0</v>
      </c>
      <c r="L256" s="154">
        <f t="shared" si="123"/>
        <v>0</v>
      </c>
      <c r="M256" s="154">
        <f t="shared" si="124"/>
        <v>8.4</v>
      </c>
      <c r="N256" s="154">
        <f t="shared" si="125"/>
        <v>0</v>
      </c>
      <c r="O256" s="154">
        <f t="shared" si="126"/>
        <v>8.4</v>
      </c>
    </row>
    <row r="257" spans="1:16" s="134" customFormat="1">
      <c r="A257" s="61" t="s">
        <v>529</v>
      </c>
      <c r="B257" s="168" t="s">
        <v>170</v>
      </c>
      <c r="C257" s="50" t="s">
        <v>148</v>
      </c>
      <c r="D257" s="169">
        <v>50</v>
      </c>
      <c r="E257" s="160"/>
      <c r="F257" s="160"/>
      <c r="G257" s="160"/>
      <c r="H257" s="160">
        <v>0.42</v>
      </c>
      <c r="I257" s="154">
        <f t="shared" si="127"/>
        <v>0</v>
      </c>
      <c r="J257" s="154">
        <f t="shared" si="121"/>
        <v>0.42</v>
      </c>
      <c r="K257" s="154">
        <f t="shared" si="122"/>
        <v>0</v>
      </c>
      <c r="L257" s="154">
        <f t="shared" si="123"/>
        <v>0</v>
      </c>
      <c r="M257" s="154">
        <f t="shared" si="124"/>
        <v>21</v>
      </c>
      <c r="N257" s="154">
        <f t="shared" si="125"/>
        <v>0</v>
      </c>
      <c r="O257" s="154">
        <f t="shared" si="126"/>
        <v>21</v>
      </c>
    </row>
    <row r="258" spans="1:16" s="134" customFormat="1">
      <c r="A258" s="61" t="s">
        <v>530</v>
      </c>
      <c r="B258" s="168" t="s">
        <v>171</v>
      </c>
      <c r="C258" s="50" t="s">
        <v>148</v>
      </c>
      <c r="D258" s="169">
        <v>10</v>
      </c>
      <c r="E258" s="160"/>
      <c r="F258" s="160"/>
      <c r="G258" s="160"/>
      <c r="H258" s="160">
        <v>0.18</v>
      </c>
      <c r="I258" s="154">
        <f t="shared" si="127"/>
        <v>0</v>
      </c>
      <c r="J258" s="154">
        <f t="shared" si="121"/>
        <v>0.18</v>
      </c>
      <c r="K258" s="154">
        <f t="shared" si="122"/>
        <v>0</v>
      </c>
      <c r="L258" s="154">
        <f t="shared" si="123"/>
        <v>0</v>
      </c>
      <c r="M258" s="154">
        <f t="shared" si="124"/>
        <v>1.8</v>
      </c>
      <c r="N258" s="154">
        <f t="shared" si="125"/>
        <v>0</v>
      </c>
      <c r="O258" s="154">
        <f t="shared" si="126"/>
        <v>1.8</v>
      </c>
    </row>
    <row r="259" spans="1:16" s="15" customFormat="1" ht="25.5">
      <c r="A259" s="61" t="s">
        <v>531</v>
      </c>
      <c r="B259" s="22" t="s">
        <v>326</v>
      </c>
      <c r="C259" s="161" t="s">
        <v>36</v>
      </c>
      <c r="D259" s="171">
        <v>30</v>
      </c>
      <c r="E259" s="161">
        <v>0.35</v>
      </c>
      <c r="F259" s="42">
        <f>$F$1</f>
        <v>3.8</v>
      </c>
      <c r="G259" s="42">
        <f>ROUND(E259*F259,2)</f>
        <v>1.33</v>
      </c>
      <c r="H259" s="42"/>
      <c r="I259" s="42">
        <f>ROUND(G259*$I$1,2)+0.5</f>
        <v>0.61</v>
      </c>
      <c r="J259" s="140">
        <f t="shared" ref="J259:J268" si="128">SUM(G259:I259)</f>
        <v>1.94</v>
      </c>
      <c r="K259" s="140">
        <f t="shared" ref="K259:K268" si="129">ROUND(D259*E259,2)</f>
        <v>10.5</v>
      </c>
      <c r="L259" s="140">
        <f t="shared" ref="L259:L268" si="130">ROUND(D259*G259,2)</f>
        <v>39.9</v>
      </c>
      <c r="M259" s="140">
        <f t="shared" ref="M259:M268" si="131">ROUND(D259*H259,2)</f>
        <v>0</v>
      </c>
      <c r="N259" s="140">
        <f t="shared" ref="N259:N268" si="132">ROUND(I259*D259,2)</f>
        <v>18.3</v>
      </c>
      <c r="O259" s="140">
        <f t="shared" ref="O259:O268" si="133">SUM(L259:N259)</f>
        <v>58.2</v>
      </c>
    </row>
    <row r="260" spans="1:16" s="15" customFormat="1" ht="25.5">
      <c r="A260" s="61" t="s">
        <v>532</v>
      </c>
      <c r="B260" s="22" t="s">
        <v>327</v>
      </c>
      <c r="C260" s="161" t="s">
        <v>36</v>
      </c>
      <c r="D260" s="171">
        <v>30</v>
      </c>
      <c r="E260" s="161">
        <v>0.25</v>
      </c>
      <c r="F260" s="42">
        <f>$F$1</f>
        <v>3.8</v>
      </c>
      <c r="G260" s="42">
        <f>ROUND(E260*F260,2)</f>
        <v>0.95</v>
      </c>
      <c r="H260" s="42"/>
      <c r="I260" s="42">
        <f>ROUND(G260*$I$1,2)+0.5</f>
        <v>0.57999999999999996</v>
      </c>
      <c r="J260" s="140">
        <f t="shared" si="128"/>
        <v>1.5299999999999998</v>
      </c>
      <c r="K260" s="140">
        <f t="shared" si="129"/>
        <v>7.5</v>
      </c>
      <c r="L260" s="140">
        <f t="shared" si="130"/>
        <v>28.5</v>
      </c>
      <c r="M260" s="140">
        <f t="shared" si="131"/>
        <v>0</v>
      </c>
      <c r="N260" s="140">
        <f t="shared" si="132"/>
        <v>17.399999999999999</v>
      </c>
      <c r="O260" s="140">
        <f t="shared" si="133"/>
        <v>45.9</v>
      </c>
    </row>
    <row r="261" spans="1:16" s="15" customFormat="1" ht="51">
      <c r="A261" s="61" t="s">
        <v>533</v>
      </c>
      <c r="B261" s="22" t="s">
        <v>328</v>
      </c>
      <c r="C261" s="161" t="s">
        <v>243</v>
      </c>
      <c r="D261" s="171">
        <v>1</v>
      </c>
      <c r="E261" s="161">
        <v>16</v>
      </c>
      <c r="F261" s="42">
        <f>$F$1</f>
        <v>3.8</v>
      </c>
      <c r="G261" s="42">
        <f>ROUND(E261*F261,2)</f>
        <v>60.8</v>
      </c>
      <c r="H261" s="42"/>
      <c r="I261" s="42">
        <f>ROUND(G261*$I$1,2)</f>
        <v>4.8600000000000003</v>
      </c>
      <c r="J261" s="140">
        <f t="shared" si="128"/>
        <v>65.66</v>
      </c>
      <c r="K261" s="140">
        <f t="shared" si="129"/>
        <v>16</v>
      </c>
      <c r="L261" s="140">
        <f t="shared" si="130"/>
        <v>60.8</v>
      </c>
      <c r="M261" s="140">
        <f t="shared" si="131"/>
        <v>0</v>
      </c>
      <c r="N261" s="140">
        <f t="shared" si="132"/>
        <v>4.8600000000000003</v>
      </c>
      <c r="O261" s="140">
        <f t="shared" si="133"/>
        <v>65.66</v>
      </c>
    </row>
    <row r="262" spans="1:16" s="134" customFormat="1">
      <c r="A262" s="61" t="s">
        <v>534</v>
      </c>
      <c r="B262" s="168" t="s">
        <v>173</v>
      </c>
      <c r="C262" s="50" t="s">
        <v>148</v>
      </c>
      <c r="D262" s="169">
        <v>10</v>
      </c>
      <c r="E262" s="160"/>
      <c r="F262" s="160"/>
      <c r="G262" s="160"/>
      <c r="H262" s="160">
        <v>6.46</v>
      </c>
      <c r="I262" s="154">
        <f t="shared" ref="I262:I268" si="134">ROUND(G262*$I$1,2)</f>
        <v>0</v>
      </c>
      <c r="J262" s="154">
        <f t="shared" si="128"/>
        <v>6.46</v>
      </c>
      <c r="K262" s="154">
        <f t="shared" si="129"/>
        <v>0</v>
      </c>
      <c r="L262" s="154">
        <f t="shared" si="130"/>
        <v>0</v>
      </c>
      <c r="M262" s="154">
        <f t="shared" si="131"/>
        <v>64.599999999999994</v>
      </c>
      <c r="N262" s="154">
        <f t="shared" si="132"/>
        <v>0</v>
      </c>
      <c r="O262" s="154">
        <f t="shared" si="133"/>
        <v>64.599999999999994</v>
      </c>
      <c r="P262" s="136"/>
    </row>
    <row r="263" spans="1:16" s="137" customFormat="1">
      <c r="A263" s="61" t="s">
        <v>535</v>
      </c>
      <c r="B263" s="168" t="s">
        <v>174</v>
      </c>
      <c r="C263" s="50" t="s">
        <v>36</v>
      </c>
      <c r="D263" s="169">
        <v>40</v>
      </c>
      <c r="E263" s="160"/>
      <c r="F263" s="160"/>
      <c r="G263" s="160"/>
      <c r="H263" s="160">
        <v>0.94</v>
      </c>
      <c r="I263" s="154">
        <f t="shared" si="134"/>
        <v>0</v>
      </c>
      <c r="J263" s="154">
        <f t="shared" si="128"/>
        <v>0.94</v>
      </c>
      <c r="K263" s="154">
        <f t="shared" si="129"/>
        <v>0</v>
      </c>
      <c r="L263" s="154">
        <f t="shared" si="130"/>
        <v>0</v>
      </c>
      <c r="M263" s="154">
        <f t="shared" si="131"/>
        <v>37.6</v>
      </c>
      <c r="N263" s="154">
        <f t="shared" si="132"/>
        <v>0</v>
      </c>
      <c r="O263" s="154">
        <f t="shared" si="133"/>
        <v>37.6</v>
      </c>
    </row>
    <row r="264" spans="1:16" s="134" customFormat="1">
      <c r="A264" s="61" t="s">
        <v>536</v>
      </c>
      <c r="B264" s="168" t="s">
        <v>175</v>
      </c>
      <c r="C264" s="50" t="s">
        <v>148</v>
      </c>
      <c r="D264" s="169">
        <v>5</v>
      </c>
      <c r="E264" s="160"/>
      <c r="F264" s="160"/>
      <c r="G264" s="160"/>
      <c r="H264" s="160">
        <v>1.28</v>
      </c>
      <c r="I264" s="154">
        <f t="shared" si="134"/>
        <v>0</v>
      </c>
      <c r="J264" s="154">
        <f t="shared" si="128"/>
        <v>1.28</v>
      </c>
      <c r="K264" s="154">
        <f t="shared" si="129"/>
        <v>0</v>
      </c>
      <c r="L264" s="154">
        <f t="shared" si="130"/>
        <v>0</v>
      </c>
      <c r="M264" s="154">
        <f t="shared" si="131"/>
        <v>6.4</v>
      </c>
      <c r="N264" s="154">
        <f t="shared" si="132"/>
        <v>0</v>
      </c>
      <c r="O264" s="154">
        <f t="shared" si="133"/>
        <v>6.4</v>
      </c>
    </row>
    <row r="265" spans="1:16" s="134" customFormat="1">
      <c r="A265" s="61" t="s">
        <v>537</v>
      </c>
      <c r="B265" s="168" t="s">
        <v>176</v>
      </c>
      <c r="C265" s="50" t="s">
        <v>148</v>
      </c>
      <c r="D265" s="169">
        <v>2</v>
      </c>
      <c r="E265" s="160"/>
      <c r="F265" s="160"/>
      <c r="G265" s="160"/>
      <c r="H265" s="160">
        <v>4.25</v>
      </c>
      <c r="I265" s="154">
        <f t="shared" si="134"/>
        <v>0</v>
      </c>
      <c r="J265" s="154">
        <f t="shared" si="128"/>
        <v>4.25</v>
      </c>
      <c r="K265" s="154">
        <f t="shared" si="129"/>
        <v>0</v>
      </c>
      <c r="L265" s="154">
        <f t="shared" si="130"/>
        <v>0</v>
      </c>
      <c r="M265" s="154">
        <f t="shared" si="131"/>
        <v>8.5</v>
      </c>
      <c r="N265" s="154">
        <f t="shared" si="132"/>
        <v>0</v>
      </c>
      <c r="O265" s="154">
        <f t="shared" si="133"/>
        <v>8.5</v>
      </c>
    </row>
    <row r="266" spans="1:16" s="134" customFormat="1">
      <c r="A266" s="61" t="s">
        <v>538</v>
      </c>
      <c r="B266" s="168" t="s">
        <v>177</v>
      </c>
      <c r="C266" s="50" t="s">
        <v>148</v>
      </c>
      <c r="D266" s="169">
        <v>5</v>
      </c>
      <c r="E266" s="160"/>
      <c r="F266" s="160"/>
      <c r="G266" s="160"/>
      <c r="H266" s="160">
        <v>4.62</v>
      </c>
      <c r="I266" s="154">
        <f t="shared" si="134"/>
        <v>0</v>
      </c>
      <c r="J266" s="154">
        <f t="shared" si="128"/>
        <v>4.62</v>
      </c>
      <c r="K266" s="154">
        <f t="shared" si="129"/>
        <v>0</v>
      </c>
      <c r="L266" s="154">
        <f t="shared" si="130"/>
        <v>0</v>
      </c>
      <c r="M266" s="154">
        <f t="shared" si="131"/>
        <v>23.1</v>
      </c>
      <c r="N266" s="154">
        <f t="shared" si="132"/>
        <v>0</v>
      </c>
      <c r="O266" s="154">
        <f t="shared" si="133"/>
        <v>23.1</v>
      </c>
    </row>
    <row r="267" spans="1:16" s="134" customFormat="1">
      <c r="A267" s="61" t="s">
        <v>539</v>
      </c>
      <c r="B267" s="168" t="s">
        <v>178</v>
      </c>
      <c r="C267" s="50" t="s">
        <v>148</v>
      </c>
      <c r="D267" s="169">
        <v>1</v>
      </c>
      <c r="E267" s="160"/>
      <c r="F267" s="160"/>
      <c r="G267" s="160"/>
      <c r="H267" s="160">
        <v>3.57</v>
      </c>
      <c r="I267" s="154">
        <f t="shared" si="134"/>
        <v>0</v>
      </c>
      <c r="J267" s="154">
        <f t="shared" si="128"/>
        <v>3.57</v>
      </c>
      <c r="K267" s="154">
        <f t="shared" si="129"/>
        <v>0</v>
      </c>
      <c r="L267" s="154">
        <f t="shared" si="130"/>
        <v>0</v>
      </c>
      <c r="M267" s="154">
        <f t="shared" si="131"/>
        <v>3.57</v>
      </c>
      <c r="N267" s="154">
        <f t="shared" si="132"/>
        <v>0</v>
      </c>
      <c r="O267" s="154">
        <f t="shared" si="133"/>
        <v>3.57</v>
      </c>
    </row>
    <row r="268" spans="1:16" s="134" customFormat="1">
      <c r="A268" s="61" t="s">
        <v>540</v>
      </c>
      <c r="B268" s="168" t="s">
        <v>179</v>
      </c>
      <c r="C268" s="50" t="s">
        <v>148</v>
      </c>
      <c r="D268" s="169">
        <v>1</v>
      </c>
      <c r="E268" s="160"/>
      <c r="F268" s="160"/>
      <c r="G268" s="160"/>
      <c r="H268" s="160">
        <v>5.9</v>
      </c>
      <c r="I268" s="154">
        <f t="shared" si="134"/>
        <v>0</v>
      </c>
      <c r="J268" s="154">
        <f t="shared" si="128"/>
        <v>5.9</v>
      </c>
      <c r="K268" s="154">
        <f t="shared" si="129"/>
        <v>0</v>
      </c>
      <c r="L268" s="154">
        <f t="shared" si="130"/>
        <v>0</v>
      </c>
      <c r="M268" s="154">
        <f t="shared" si="131"/>
        <v>5.9</v>
      </c>
      <c r="N268" s="154">
        <f t="shared" si="132"/>
        <v>0</v>
      </c>
      <c r="O268" s="154">
        <f t="shared" si="133"/>
        <v>5.9</v>
      </c>
    </row>
    <row r="269" spans="1:16" s="15" customFormat="1" ht="25.5">
      <c r="A269" s="61" t="s">
        <v>541</v>
      </c>
      <c r="B269" s="22" t="s">
        <v>329</v>
      </c>
      <c r="C269" s="161" t="s">
        <v>36</v>
      </c>
      <c r="D269" s="171">
        <v>28</v>
      </c>
      <c r="E269" s="161">
        <v>0.67</v>
      </c>
      <c r="F269" s="42">
        <f>$F$1</f>
        <v>3.8</v>
      </c>
      <c r="G269" s="42">
        <f>ROUND(E269*F269,2)</f>
        <v>2.5499999999999998</v>
      </c>
      <c r="H269" s="42"/>
      <c r="I269" s="42">
        <f>ROUND(G269*$I$1,2)</f>
        <v>0.2</v>
      </c>
      <c r="J269" s="140">
        <f>SUM(G269:I269)</f>
        <v>2.75</v>
      </c>
      <c r="K269" s="140">
        <f>ROUND(D269*E269,2)</f>
        <v>18.760000000000002</v>
      </c>
      <c r="L269" s="140">
        <f>ROUND(D269*G269,2)</f>
        <v>71.400000000000006</v>
      </c>
      <c r="M269" s="140">
        <f>ROUND(D269*H269,2)</f>
        <v>0</v>
      </c>
      <c r="N269" s="140">
        <f>ROUND(I269*D269,2)</f>
        <v>5.6</v>
      </c>
      <c r="O269" s="140">
        <f>SUM(L269:N269)</f>
        <v>77</v>
      </c>
    </row>
    <row r="270" spans="1:16" s="134" customFormat="1">
      <c r="A270" s="61" t="s">
        <v>542</v>
      </c>
      <c r="B270" s="168" t="s">
        <v>180</v>
      </c>
      <c r="C270" s="50" t="s">
        <v>36</v>
      </c>
      <c r="D270" s="169">
        <v>30</v>
      </c>
      <c r="E270" s="160"/>
      <c r="F270" s="160"/>
      <c r="G270" s="160"/>
      <c r="H270" s="160">
        <v>0.82</v>
      </c>
      <c r="I270" s="154">
        <f>ROUND(G270*$I$1,2)</f>
        <v>0</v>
      </c>
      <c r="J270" s="154">
        <f>SUM(G270:I270)</f>
        <v>0.82</v>
      </c>
      <c r="K270" s="154">
        <f>ROUND(D270*E270,2)</f>
        <v>0</v>
      </c>
      <c r="L270" s="154">
        <f>ROUND(D270*G270,2)</f>
        <v>0</v>
      </c>
      <c r="M270" s="154">
        <f>ROUND(D270*H270,2)</f>
        <v>24.6</v>
      </c>
      <c r="N270" s="154">
        <f>ROUND(I270*D270,2)</f>
        <v>0</v>
      </c>
      <c r="O270" s="154">
        <f>SUM(L270:N270)</f>
        <v>24.6</v>
      </c>
    </row>
    <row r="271" spans="1:16" s="134" customFormat="1">
      <c r="A271" s="61" t="s">
        <v>543</v>
      </c>
      <c r="B271" s="168" t="s">
        <v>181</v>
      </c>
      <c r="C271" s="50" t="s">
        <v>148</v>
      </c>
      <c r="D271" s="169">
        <v>1</v>
      </c>
      <c r="E271" s="160"/>
      <c r="F271" s="160"/>
      <c r="G271" s="160"/>
      <c r="H271" s="160">
        <v>9.69</v>
      </c>
      <c r="I271" s="154">
        <f>ROUND(G271*$I$1,2)</f>
        <v>0</v>
      </c>
      <c r="J271" s="154">
        <f>SUM(G271:I271)</f>
        <v>9.69</v>
      </c>
      <c r="K271" s="154">
        <f>ROUND(D271*E271,2)</f>
        <v>0</v>
      </c>
      <c r="L271" s="154">
        <f>ROUND(D271*G271,2)</f>
        <v>0</v>
      </c>
      <c r="M271" s="154">
        <f>ROUND(D271*H271,2)</f>
        <v>9.69</v>
      </c>
      <c r="N271" s="154">
        <f>ROUND(I271*D271,2)</f>
        <v>0</v>
      </c>
      <c r="O271" s="154">
        <f>SUM(L271:N271)</f>
        <v>9.69</v>
      </c>
    </row>
    <row r="272" spans="1:16" s="134" customFormat="1" ht="25.5">
      <c r="A272" s="61" t="s">
        <v>544</v>
      </c>
      <c r="B272" s="168" t="s">
        <v>330</v>
      </c>
      <c r="C272" s="50" t="s">
        <v>148</v>
      </c>
      <c r="D272" s="169">
        <v>30</v>
      </c>
      <c r="E272" s="160"/>
      <c r="F272" s="160"/>
      <c r="G272" s="160"/>
      <c r="H272" s="160">
        <v>2.14</v>
      </c>
      <c r="I272" s="154">
        <f>ROUND(G272*$I$1,2)</f>
        <v>0</v>
      </c>
      <c r="J272" s="154">
        <f>SUM(G272:I272)</f>
        <v>2.14</v>
      </c>
      <c r="K272" s="154">
        <f>ROUND(D272*E272,2)</f>
        <v>0</v>
      </c>
      <c r="L272" s="154">
        <f>ROUND(D272*G272,2)</f>
        <v>0</v>
      </c>
      <c r="M272" s="154">
        <f>ROUND(D272*H272,2)</f>
        <v>64.2</v>
      </c>
      <c r="N272" s="154">
        <f>ROUND(I272*D272,2)</f>
        <v>0</v>
      </c>
      <c r="O272" s="154">
        <f>SUM(L272:N272)</f>
        <v>64.2</v>
      </c>
    </row>
    <row r="273" spans="1:17" s="134" customFormat="1">
      <c r="A273" s="61" t="s">
        <v>545</v>
      </c>
      <c r="B273" s="168" t="s">
        <v>0</v>
      </c>
      <c r="C273" s="50" t="s">
        <v>33</v>
      </c>
      <c r="D273" s="169">
        <v>1</v>
      </c>
      <c r="E273" s="160"/>
      <c r="F273" s="160"/>
      <c r="G273" s="160"/>
      <c r="H273" s="160">
        <v>25</v>
      </c>
      <c r="I273" s="154">
        <f>ROUND(G273*$I$1,2)</f>
        <v>0</v>
      </c>
      <c r="J273" s="154">
        <f>SUM(G273:I273)</f>
        <v>25</v>
      </c>
      <c r="K273" s="154">
        <f>ROUND(D273*E273,2)</f>
        <v>0</v>
      </c>
      <c r="L273" s="154">
        <f>ROUND(D273*G273,2)</f>
        <v>0</v>
      </c>
      <c r="M273" s="154">
        <f>ROUND(D273*H273,2)</f>
        <v>25</v>
      </c>
      <c r="N273" s="154">
        <f>ROUND(I273*D273,2)</f>
        <v>0</v>
      </c>
      <c r="O273" s="154">
        <f>SUM(L273:N273)</f>
        <v>25</v>
      </c>
    </row>
    <row r="274" spans="1:17" ht="13.5" thickBot="1">
      <c r="A274" s="175"/>
      <c r="B274" s="176"/>
      <c r="C274" s="177"/>
      <c r="D274" s="177"/>
      <c r="E274" s="178"/>
      <c r="F274" s="179"/>
      <c r="G274" s="178"/>
      <c r="H274" s="178"/>
      <c r="I274" s="178"/>
      <c r="J274" s="180"/>
      <c r="K274" s="180"/>
      <c r="L274" s="180"/>
      <c r="M274" s="180"/>
      <c r="N274" s="180"/>
      <c r="O274" s="180"/>
    </row>
    <row r="275" spans="1:17" ht="13.5" thickTop="1">
      <c r="A275" s="23"/>
      <c r="B275" s="18" t="s">
        <v>39</v>
      </c>
      <c r="C275" s="19"/>
      <c r="D275" s="19"/>
      <c r="E275" s="130"/>
      <c r="F275" s="130"/>
      <c r="G275" s="130"/>
      <c r="H275" s="130"/>
      <c r="I275" s="130"/>
      <c r="J275" s="130"/>
      <c r="K275" s="131">
        <f>SUM(K17:K273)</f>
        <v>937.2700000000001</v>
      </c>
      <c r="L275" s="131">
        <f>SUM(L17:L273)</f>
        <v>3561.6499999999996</v>
      </c>
      <c r="M275" s="131">
        <f>SUM(M17:M273)</f>
        <v>20256.80999999999</v>
      </c>
      <c r="N275" s="131">
        <f>SUM(N17:N273)</f>
        <v>784.17999999999972</v>
      </c>
      <c r="O275" s="131">
        <f>SUM(O17:O273)</f>
        <v>24602.639999999996</v>
      </c>
      <c r="Q275" s="184"/>
    </row>
    <row r="276" spans="1:17" ht="25.5">
      <c r="A276" s="133"/>
      <c r="B276" s="132" t="s">
        <v>40</v>
      </c>
      <c r="C276" s="181">
        <v>0.08</v>
      </c>
      <c r="D276" s="54"/>
      <c r="E276" s="173"/>
      <c r="F276" s="173"/>
      <c r="G276" s="173"/>
      <c r="H276" s="173"/>
      <c r="I276" s="173"/>
      <c r="J276" s="173"/>
      <c r="K276" s="173"/>
      <c r="L276" s="173"/>
      <c r="M276" s="173"/>
      <c r="N276" s="173"/>
      <c r="O276" s="182">
        <f>ROUND(O275*$C276,2)</f>
        <v>1968.21</v>
      </c>
    </row>
    <row r="277" spans="1:17">
      <c r="A277" s="23"/>
      <c r="B277" s="14" t="s">
        <v>39</v>
      </c>
      <c r="C277" s="10"/>
      <c r="D277" s="10"/>
      <c r="E277" s="14"/>
      <c r="F277" s="14"/>
      <c r="G277" s="14"/>
      <c r="H277" s="14"/>
      <c r="I277" s="14"/>
      <c r="J277" s="14"/>
      <c r="K277" s="43">
        <f>K275+K276</f>
        <v>937.2700000000001</v>
      </c>
      <c r="L277" s="43">
        <f>L275+L276</f>
        <v>3561.6499999999996</v>
      </c>
      <c r="M277" s="43">
        <f>M275+M276</f>
        <v>20256.80999999999</v>
      </c>
      <c r="N277" s="43">
        <f>N275+N276</f>
        <v>784.17999999999972</v>
      </c>
      <c r="O277" s="43">
        <f>O275+O276</f>
        <v>26570.849999999995</v>
      </c>
    </row>
    <row r="278" spans="1:17">
      <c r="A278" s="137"/>
      <c r="B278" s="137"/>
      <c r="C278" s="137"/>
      <c r="D278" s="137"/>
      <c r="F278" s="137"/>
      <c r="G278" s="137"/>
      <c r="H278" s="137"/>
      <c r="I278" s="137"/>
      <c r="J278" s="137"/>
      <c r="K278" s="137"/>
      <c r="L278" s="137"/>
      <c r="M278" s="137"/>
      <c r="N278" s="137"/>
      <c r="O278" s="137"/>
    </row>
    <row r="279" spans="1:17" ht="14.25">
      <c r="A279" s="137"/>
      <c r="B279" s="310" t="s">
        <v>331</v>
      </c>
      <c r="C279" s="310"/>
      <c r="D279" s="310"/>
      <c r="E279" s="310"/>
      <c r="F279" s="310"/>
      <c r="G279" s="310"/>
      <c r="H279" s="137"/>
      <c r="I279" s="137"/>
      <c r="J279" s="137"/>
      <c r="K279" s="137"/>
      <c r="L279" s="137"/>
      <c r="M279" s="137"/>
      <c r="N279" s="137"/>
      <c r="O279" s="137"/>
    </row>
    <row r="280" spans="1:17">
      <c r="A280" s="137"/>
      <c r="B280" s="137"/>
      <c r="C280" s="183"/>
      <c r="D280" s="183"/>
      <c r="F280" s="137"/>
      <c r="G280" s="137"/>
      <c r="H280" s="137"/>
      <c r="I280" s="137"/>
      <c r="J280" s="137"/>
      <c r="K280" s="137"/>
      <c r="L280" s="137"/>
      <c r="M280" s="137"/>
      <c r="N280" s="137"/>
      <c r="O280" s="137"/>
    </row>
    <row r="281" spans="1:17">
      <c r="A281" s="137"/>
      <c r="B281" s="137"/>
      <c r="C281" s="183"/>
      <c r="D281" s="183"/>
      <c r="F281" s="137"/>
      <c r="G281" s="137"/>
      <c r="H281" s="137"/>
      <c r="I281" s="137"/>
      <c r="J281" s="137"/>
      <c r="K281" s="137"/>
      <c r="L281" s="137"/>
      <c r="M281" s="137"/>
      <c r="N281" s="137"/>
      <c r="O281" s="137"/>
    </row>
    <row r="282" spans="1:17">
      <c r="A282" s="49" t="s">
        <v>5</v>
      </c>
      <c r="B282" s="135" t="e">
        <f>#REF!</f>
        <v>#REF!</v>
      </c>
      <c r="C282" s="183"/>
      <c r="D282" s="183"/>
      <c r="F282" s="137"/>
      <c r="G282" s="137"/>
      <c r="H282" s="137"/>
      <c r="I282" s="137"/>
      <c r="J282" s="137"/>
      <c r="K282" s="137"/>
      <c r="L282" s="137"/>
      <c r="M282" s="137"/>
      <c r="N282" s="137"/>
      <c r="O282" s="137"/>
    </row>
    <row r="283" spans="1:17">
      <c r="A283" s="49"/>
      <c r="B283" s="49"/>
      <c r="C283" s="183"/>
      <c r="D283" s="183"/>
      <c r="F283" s="137"/>
      <c r="G283" s="137"/>
      <c r="H283" s="137"/>
      <c r="I283" s="137"/>
      <c r="J283" s="137"/>
      <c r="K283" s="137"/>
      <c r="L283" s="137"/>
      <c r="M283" s="137"/>
      <c r="N283" s="137"/>
      <c r="O283" s="137"/>
    </row>
    <row r="284" spans="1:17">
      <c r="A284" s="49" t="s">
        <v>1</v>
      </c>
      <c r="B284" s="48" t="s">
        <v>332</v>
      </c>
      <c r="C284" s="183"/>
      <c r="D284" s="183"/>
      <c r="F284" s="137"/>
      <c r="G284" s="137"/>
      <c r="H284" s="137"/>
      <c r="I284" s="137"/>
      <c r="J284" s="137"/>
      <c r="K284" s="137"/>
      <c r="L284" s="137"/>
      <c r="M284" s="137"/>
      <c r="N284" s="137"/>
      <c r="O284" s="137"/>
    </row>
    <row r="285" spans="1:17">
      <c r="A285" s="49"/>
      <c r="B285" s="48"/>
      <c r="C285" s="183"/>
      <c r="D285" s="183"/>
      <c r="F285" s="137"/>
      <c r="G285" s="137"/>
      <c r="H285" s="137"/>
      <c r="I285" s="137"/>
      <c r="J285" s="137"/>
      <c r="K285" s="137"/>
      <c r="L285" s="137"/>
      <c r="M285" s="137"/>
      <c r="N285" s="137"/>
      <c r="O285" s="137"/>
    </row>
  </sheetData>
  <mergeCells count="32">
    <mergeCell ref="A225:J225"/>
    <mergeCell ref="M13:N13"/>
    <mergeCell ref="A14:A15"/>
    <mergeCell ref="B14:B15"/>
    <mergeCell ref="C14:C15"/>
    <mergeCell ref="D14:D15"/>
    <mergeCell ref="E14:J14"/>
    <mergeCell ref="K14:O14"/>
    <mergeCell ref="A142:J142"/>
    <mergeCell ref="A160:J160"/>
    <mergeCell ref="A174:J174"/>
    <mergeCell ref="A2:O2"/>
    <mergeCell ref="A3:O3"/>
    <mergeCell ref="A5:B5"/>
    <mergeCell ref="C5:O5"/>
    <mergeCell ref="A6:B6"/>
    <mergeCell ref="B279:G279"/>
    <mergeCell ref="A7:B7"/>
    <mergeCell ref="A89:J89"/>
    <mergeCell ref="A99:J99"/>
    <mergeCell ref="A104:J104"/>
    <mergeCell ref="A127:J127"/>
    <mergeCell ref="A8:B8"/>
    <mergeCell ref="G11:I11"/>
    <mergeCell ref="J11:L11"/>
    <mergeCell ref="B18:G18"/>
    <mergeCell ref="B37:G37"/>
    <mergeCell ref="A39:J39"/>
    <mergeCell ref="A51:J51"/>
    <mergeCell ref="A17:J17"/>
    <mergeCell ref="A205:J205"/>
    <mergeCell ref="A214:J214"/>
  </mergeCells>
  <pageMargins left="0.39370078740157483" right="0.39370078740157483" top="0.78740157480314965" bottom="0.59055118110236227" header="0.51181102362204722" footer="0.39370078740157483"/>
  <pageSetup paperSize="9" scale="85" orientation="landscape" r:id="rId1"/>
  <headerFooter alignWithMargins="0">
    <oddFooter>&amp;CLapaspuse &amp;P no &amp;N&amp;R&amp;A</oddFooter>
  </headerFooter>
  <rowBreaks count="2" manualBreakCount="2">
    <brk id="213" max="14" man="1"/>
    <brk id="260" max="1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Kopsavilkums</vt:lpstr>
      <vt:lpstr>Birzes iela</vt:lpstr>
      <vt:lpstr>Ošu iela </vt:lpstr>
      <vt:lpstr>Lakstīgalas iela</vt:lpstr>
      <vt:lpstr>LT-1;ŪdenstornisAR&lt;BK&lt;TN&lt;EL</vt:lpstr>
      <vt:lpstr>'LT-1;ŪdenstornisAR&lt;BK&lt;TN&lt;EL'!Print_Area</vt:lpstr>
      <vt:lpstr>'Birzes iela'!Print_Titles</vt:lpstr>
      <vt:lpstr>'LT-1;ŪdenstornisAR&lt;BK&lt;TN&lt;EL'!Print_Titles</vt:lpstr>
      <vt:lpstr>'Ošu iela '!Print_Titles</vt:lpstr>
    </vt:vector>
  </TitlesOfParts>
  <Company>Cers projekti SIA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evija</dc:creator>
  <cp:lastModifiedBy>Silvija</cp:lastModifiedBy>
  <cp:lastPrinted>2019-05-30T12:54:10Z</cp:lastPrinted>
  <dcterms:created xsi:type="dcterms:W3CDTF">2011-03-23T14:07:45Z</dcterms:created>
  <dcterms:modified xsi:type="dcterms:W3CDTF">2019-08-02T05:02:51Z</dcterms:modified>
</cp:coreProperties>
</file>